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Ruud Lexmond\Desktop\Dropbox\00_1 BLGM (2)\04. Standaarden\"/>
    </mc:Choice>
  </mc:AlternateContent>
  <bookViews>
    <workbookView xWindow="0" yWindow="0" windowWidth="23190" windowHeight="11730" tabRatio="719"/>
  </bookViews>
  <sheets>
    <sheet name="start" sheetId="13" r:id="rId1"/>
    <sheet name="analyse import" sheetId="8" r:id="rId2"/>
    <sheet name="Besluit bodemkwaliteit" sheetId="1" r:id="rId3"/>
    <sheet name="teller overschrijdingen" sheetId="14" state="hidden" r:id="rId4"/>
    <sheet name="omrekenen" sheetId="2" state="hidden" r:id="rId5"/>
    <sheet name="CROW tab" sheetId="15" state="hidden" r:id="rId6"/>
    <sheet name="PAF parameters" sheetId="16" state="hidden" r:id="rId7"/>
    <sheet name="msPAF anorg" sheetId="17" state="hidden" r:id="rId8"/>
    <sheet name="msPAF org" sheetId="18" state="hidden" r:id="rId9"/>
  </sheets>
  <externalReferences>
    <externalReference r:id="rId10"/>
  </externalReferences>
  <definedNames>
    <definedName name="_xlnm._FilterDatabase" localSheetId="1" hidden="1">'analyse import'!$O$10:$O$233</definedName>
    <definedName name="_xlnm._FilterDatabase" localSheetId="2" hidden="1">'Besluit bodemkwaliteit'!$AI$17:$AI$253</definedName>
    <definedName name="_xlnm.Print_Area" localSheetId="2">'Besluit bodemkwaliteit'!$A$1:$T$253</definedName>
    <definedName name="_xlnm.Print_Area">'Besluit bodemkwaliteit'!$A$1:$S$234</definedName>
    <definedName name="grondenbagger" localSheetId="2">'Besluit bodemkwaliteit'!$A$1:$T$234</definedName>
  </definedNames>
  <calcPr calcId="152511"/>
</workbook>
</file>

<file path=xl/calcChain.xml><?xml version="1.0" encoding="utf-8"?>
<calcChain xmlns="http://schemas.openxmlformats.org/spreadsheetml/2006/main">
  <c r="L16" i="13" l="1"/>
  <c r="N160" i="8" l="1"/>
  <c r="N159" i="8"/>
  <c r="J15" i="13" l="1"/>
  <c r="I14" i="8"/>
  <c r="I133" i="8"/>
  <c r="I126" i="8"/>
  <c r="D125" i="1" s="1"/>
  <c r="I127" i="8"/>
  <c r="I128" i="8"/>
  <c r="D127" i="1" s="1"/>
  <c r="I129" i="8"/>
  <c r="I130" i="8"/>
  <c r="D129" i="1" s="1"/>
  <c r="I131" i="8"/>
  <c r="D130" i="1" s="1"/>
  <c r="I132" i="8"/>
  <c r="D131" i="1" s="1"/>
  <c r="H14" i="8"/>
  <c r="H133" i="8"/>
  <c r="H126" i="8"/>
  <c r="C125" i="1" s="1"/>
  <c r="H127" i="8"/>
  <c r="C126" i="1" s="1"/>
  <c r="H128" i="8"/>
  <c r="H129" i="8"/>
  <c r="C128" i="1" s="1"/>
  <c r="H130" i="8"/>
  <c r="C129" i="1" s="1"/>
  <c r="H131" i="8"/>
  <c r="C130" i="1" s="1"/>
  <c r="H132" i="8"/>
  <c r="H163" i="8"/>
  <c r="C162" i="1" s="1"/>
  <c r="I163" i="8"/>
  <c r="D162" i="1" s="1"/>
  <c r="H162" i="8"/>
  <c r="I162" i="8"/>
  <c r="D161" i="1" s="1"/>
  <c r="H161" i="8"/>
  <c r="I161" i="8"/>
  <c r="D160" i="1" s="1"/>
  <c r="H160" i="8"/>
  <c r="I160" i="8"/>
  <c r="H158" i="8"/>
  <c r="C157" i="1" s="1"/>
  <c r="I158" i="8"/>
  <c r="D157" i="1" s="1"/>
  <c r="H157" i="8"/>
  <c r="C156" i="1" s="1"/>
  <c r="I157" i="8"/>
  <c r="D156" i="1" s="1"/>
  <c r="H156" i="8"/>
  <c r="C155" i="1" s="1"/>
  <c r="I156" i="8"/>
  <c r="D155" i="1" s="1"/>
  <c r="H155" i="8"/>
  <c r="C154" i="1" s="1"/>
  <c r="I155" i="8"/>
  <c r="H152" i="8"/>
  <c r="C151" i="1" s="1"/>
  <c r="I152" i="8"/>
  <c r="D151" i="1" s="1"/>
  <c r="H151" i="8"/>
  <c r="I151" i="8"/>
  <c r="D150" i="1" s="1"/>
  <c r="H148" i="8"/>
  <c r="C147" i="1" s="1"/>
  <c r="I148" i="8"/>
  <c r="D147" i="1" s="1"/>
  <c r="H164" i="8"/>
  <c r="C163" i="1" s="1"/>
  <c r="I164" i="8"/>
  <c r="H22" i="13"/>
  <c r="H211" i="14" s="1"/>
  <c r="H21" i="8"/>
  <c r="C28" i="1" s="1"/>
  <c r="I21" i="8"/>
  <c r="D28" i="1" s="1"/>
  <c r="H22" i="8"/>
  <c r="C29" i="1" s="1"/>
  <c r="F9" i="2" s="1"/>
  <c r="I22" i="8"/>
  <c r="D29" i="1" s="1"/>
  <c r="C7" i="14"/>
  <c r="H24" i="8"/>
  <c r="C31" i="1" s="1"/>
  <c r="I24" i="8"/>
  <c r="D31" i="1" s="1"/>
  <c r="G11" i="2" s="1"/>
  <c r="H15" i="8"/>
  <c r="I15" i="8"/>
  <c r="H25" i="8"/>
  <c r="C32" i="1" s="1"/>
  <c r="F12" i="2" s="1"/>
  <c r="I25" i="8"/>
  <c r="D32" i="1" s="1"/>
  <c r="H26" i="8"/>
  <c r="C33" i="1" s="1"/>
  <c r="I26" i="8"/>
  <c r="D33" i="1" s="1"/>
  <c r="G13" i="2" s="1"/>
  <c r="H27" i="8"/>
  <c r="C34" i="1" s="1"/>
  <c r="I27" i="8"/>
  <c r="D34" i="1" s="1"/>
  <c r="H28" i="8"/>
  <c r="C35" i="1" s="1"/>
  <c r="T35" i="1" s="1"/>
  <c r="I28" i="8"/>
  <c r="D35" i="1" s="1"/>
  <c r="G15" i="2" s="1"/>
  <c r="H29" i="8"/>
  <c r="C36" i="1" s="1"/>
  <c r="F16" i="2" s="1"/>
  <c r="I29" i="8"/>
  <c r="D36" i="1" s="1"/>
  <c r="G16" i="2" s="1"/>
  <c r="H30" i="8"/>
  <c r="C37" i="1" s="1"/>
  <c r="I30" i="8"/>
  <c r="D37" i="1" s="1"/>
  <c r="G17" i="2" s="1"/>
  <c r="H31" i="8"/>
  <c r="C38" i="1" s="1"/>
  <c r="F18" i="2" s="1"/>
  <c r="I31" i="8"/>
  <c r="D38" i="1" s="1"/>
  <c r="H32" i="8"/>
  <c r="C39" i="1" s="1"/>
  <c r="E39" i="1" s="1"/>
  <c r="I32" i="8"/>
  <c r="H33" i="8"/>
  <c r="C40" i="1" s="1"/>
  <c r="F20" i="2" s="1"/>
  <c r="I33" i="8"/>
  <c r="D40" i="1" s="1"/>
  <c r="F40" i="1" s="1"/>
  <c r="H34" i="8"/>
  <c r="C41" i="1" s="1"/>
  <c r="I34" i="8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7" i="14"/>
  <c r="H62" i="8"/>
  <c r="I62" i="8"/>
  <c r="D61" i="1" s="1"/>
  <c r="H63" i="8"/>
  <c r="C62" i="1" s="1"/>
  <c r="I63" i="8"/>
  <c r="D62" i="1" s="1"/>
  <c r="C40" i="14"/>
  <c r="H65" i="8"/>
  <c r="I65" i="8"/>
  <c r="D64" i="1" s="1"/>
  <c r="C42" i="14"/>
  <c r="H69" i="8"/>
  <c r="C68" i="1" s="1"/>
  <c r="I69" i="8"/>
  <c r="D68" i="1" s="1"/>
  <c r="H70" i="8"/>
  <c r="I70" i="8"/>
  <c r="D69" i="1" s="1"/>
  <c r="H71" i="8"/>
  <c r="C70" i="1" s="1"/>
  <c r="I71" i="8"/>
  <c r="D70" i="1" s="1"/>
  <c r="H72" i="8"/>
  <c r="I72" i="8"/>
  <c r="D71" i="1" s="1"/>
  <c r="H73" i="8"/>
  <c r="C72" i="1" s="1"/>
  <c r="I73" i="8"/>
  <c r="H74" i="8"/>
  <c r="I74" i="8"/>
  <c r="D73" i="1" s="1"/>
  <c r="H75" i="8"/>
  <c r="C74" i="1" s="1"/>
  <c r="I75" i="8"/>
  <c r="H76" i="8"/>
  <c r="I76" i="8"/>
  <c r="D75" i="1" s="1"/>
  <c r="H77" i="8"/>
  <c r="C76" i="1" s="1"/>
  <c r="I77" i="8"/>
  <c r="D76" i="1" s="1"/>
  <c r="C56" i="14"/>
  <c r="C57" i="14"/>
  <c r="C58" i="14"/>
  <c r="C59" i="14"/>
  <c r="C60" i="14"/>
  <c r="C61" i="14"/>
  <c r="C62" i="14"/>
  <c r="C63" i="14"/>
  <c r="C64" i="14"/>
  <c r="C65" i="14"/>
  <c r="H90" i="8"/>
  <c r="C89" i="1" s="1"/>
  <c r="I90" i="8"/>
  <c r="D89" i="1" s="1"/>
  <c r="H109" i="8"/>
  <c r="C108" i="1" s="1"/>
  <c r="I109" i="8"/>
  <c r="H110" i="8"/>
  <c r="C109" i="1" s="1"/>
  <c r="H109" i="1" s="1"/>
  <c r="C86" i="14" s="1"/>
  <c r="I110" i="8"/>
  <c r="D109" i="1" s="1"/>
  <c r="H111" i="8"/>
  <c r="C110" i="1" s="1"/>
  <c r="I111" i="8"/>
  <c r="D110" i="1" s="1"/>
  <c r="H112" i="8"/>
  <c r="I112" i="8"/>
  <c r="D111" i="1" s="1"/>
  <c r="S113" i="8"/>
  <c r="H113" i="8" s="1"/>
  <c r="T113" i="8"/>
  <c r="I113" i="8" s="1"/>
  <c r="D112" i="1" s="1"/>
  <c r="H114" i="8"/>
  <c r="I114" i="8"/>
  <c r="D113" i="1" s="1"/>
  <c r="C91" i="14"/>
  <c r="H118" i="8"/>
  <c r="C117" i="1" s="1"/>
  <c r="I118" i="8"/>
  <c r="D117" i="1" s="1"/>
  <c r="H119" i="8"/>
  <c r="C118" i="1" s="1"/>
  <c r="I119" i="8"/>
  <c r="D118" i="1" s="1"/>
  <c r="S120" i="8"/>
  <c r="H120" i="8" s="1"/>
  <c r="C119" i="1" s="1"/>
  <c r="T120" i="8"/>
  <c r="I120" i="8" s="1"/>
  <c r="D119" i="1" s="1"/>
  <c r="T119" i="1" s="1"/>
  <c r="H121" i="8"/>
  <c r="I121" i="8"/>
  <c r="D120" i="1" s="1"/>
  <c r="S122" i="8"/>
  <c r="H122" i="8" s="1"/>
  <c r="C121" i="1" s="1"/>
  <c r="T122" i="8"/>
  <c r="I122" i="8" s="1"/>
  <c r="C99" i="14"/>
  <c r="C102" i="14"/>
  <c r="C103" i="14"/>
  <c r="C104" i="14"/>
  <c r="C105" i="14"/>
  <c r="C106" i="14"/>
  <c r="C107" i="14"/>
  <c r="C108" i="14"/>
  <c r="H136" i="8"/>
  <c r="I136" i="8"/>
  <c r="D135" i="1"/>
  <c r="H137" i="8"/>
  <c r="I137" i="8"/>
  <c r="D136" i="1"/>
  <c r="H138" i="8"/>
  <c r="C137" i="1" s="1"/>
  <c r="I138" i="8"/>
  <c r="H139" i="8"/>
  <c r="I139" i="8"/>
  <c r="D138" i="1"/>
  <c r="S143" i="8"/>
  <c r="H143" i="8" s="1"/>
  <c r="T143" i="8"/>
  <c r="I143" i="8" s="1"/>
  <c r="D142" i="1" s="1"/>
  <c r="H144" i="8"/>
  <c r="I144" i="8"/>
  <c r="D143" i="1" s="1"/>
  <c r="H145" i="8"/>
  <c r="C144" i="1" s="1"/>
  <c r="I145" i="8"/>
  <c r="H146" i="8"/>
  <c r="I146" i="8"/>
  <c r="D145" i="1"/>
  <c r="C123" i="14"/>
  <c r="C124" i="14"/>
  <c r="C125" i="14"/>
  <c r="C126" i="14"/>
  <c r="C127" i="14"/>
  <c r="C128" i="14"/>
  <c r="H153" i="8"/>
  <c r="I153" i="8"/>
  <c r="D152" i="1" s="1"/>
  <c r="C130" i="14"/>
  <c r="C135" i="14"/>
  <c r="C136" i="14"/>
  <c r="K163" i="8"/>
  <c r="H167" i="8"/>
  <c r="C166" i="1" s="1"/>
  <c r="I167" i="8"/>
  <c r="H170" i="8"/>
  <c r="C169" i="1" s="1"/>
  <c r="I170" i="8"/>
  <c r="H171" i="8"/>
  <c r="C170" i="1" s="1"/>
  <c r="I171" i="8"/>
  <c r="C148" i="14"/>
  <c r="C149" i="14"/>
  <c r="H176" i="8"/>
  <c r="C175" i="1" s="1"/>
  <c r="I176" i="8"/>
  <c r="H179" i="8"/>
  <c r="C178" i="1" s="1"/>
  <c r="I179" i="8"/>
  <c r="H180" i="8"/>
  <c r="C179" i="1" s="1"/>
  <c r="I180" i="8"/>
  <c r="H181" i="8"/>
  <c r="I181" i="8"/>
  <c r="D180" i="1" s="1"/>
  <c r="H182" i="8"/>
  <c r="C181" i="1" s="1"/>
  <c r="I182" i="8"/>
  <c r="H183" i="8"/>
  <c r="C182" i="1" s="1"/>
  <c r="I183" i="8"/>
  <c r="C162" i="14"/>
  <c r="H187" i="8"/>
  <c r="C186" i="1" s="1"/>
  <c r="I187" i="8"/>
  <c r="H188" i="8"/>
  <c r="C187" i="1" s="1"/>
  <c r="I188" i="8"/>
  <c r="D187" i="1" s="1"/>
  <c r="H189" i="8"/>
  <c r="C188" i="1" s="1"/>
  <c r="I189" i="8"/>
  <c r="H190" i="8"/>
  <c r="C189" i="1" s="1"/>
  <c r="I190" i="8"/>
  <c r="H191" i="8"/>
  <c r="C190" i="1" s="1"/>
  <c r="I191" i="8"/>
  <c r="H192" i="8"/>
  <c r="C191" i="1" s="1"/>
  <c r="I192" i="8"/>
  <c r="D191" i="1" s="1"/>
  <c r="H193" i="8"/>
  <c r="C192" i="1" s="1"/>
  <c r="I193" i="8"/>
  <c r="H194" i="8"/>
  <c r="C193" i="1" s="1"/>
  <c r="I194" i="8"/>
  <c r="C171" i="14"/>
  <c r="H196" i="8"/>
  <c r="I196" i="8"/>
  <c r="D195" i="1" s="1"/>
  <c r="H197" i="8"/>
  <c r="C196" i="1"/>
  <c r="I197" i="8"/>
  <c r="D196" i="1"/>
  <c r="H198" i="8"/>
  <c r="I198" i="8"/>
  <c r="D197" i="1"/>
  <c r="H199" i="8"/>
  <c r="C198" i="1"/>
  <c r="H198" i="1" s="1"/>
  <c r="C175" i="14" s="1"/>
  <c r="I199" i="8"/>
  <c r="D198" i="1"/>
  <c r="H200" i="8"/>
  <c r="C199" i="1"/>
  <c r="I200" i="8"/>
  <c r="H201" i="8"/>
  <c r="C200" i="1"/>
  <c r="I201" i="8"/>
  <c r="D200" i="1"/>
  <c r="H202" i="8"/>
  <c r="I202" i="8"/>
  <c r="D201" i="1"/>
  <c r="H203" i="8"/>
  <c r="C202" i="1"/>
  <c r="I203" i="8"/>
  <c r="D202" i="1"/>
  <c r="H204" i="8"/>
  <c r="C203" i="1"/>
  <c r="I204" i="8"/>
  <c r="H205" i="8"/>
  <c r="C204" i="1"/>
  <c r="I205" i="8"/>
  <c r="D204" i="1"/>
  <c r="H206" i="8"/>
  <c r="I206" i="8"/>
  <c r="D205" i="1"/>
  <c r="H207" i="8"/>
  <c r="C206" i="1"/>
  <c r="I207" i="8"/>
  <c r="D206" i="1"/>
  <c r="H208" i="8"/>
  <c r="C207" i="1"/>
  <c r="I208" i="8"/>
  <c r="H209" i="8"/>
  <c r="C208" i="1"/>
  <c r="I209" i="8"/>
  <c r="D208" i="1"/>
  <c r="H210" i="8"/>
  <c r="I210" i="8"/>
  <c r="D209" i="1"/>
  <c r="H211" i="8"/>
  <c r="C210" i="1"/>
  <c r="I211" i="8"/>
  <c r="D210" i="1"/>
  <c r="H23" i="13"/>
  <c r="H214" i="1" s="1"/>
  <c r="C191" i="14" s="1"/>
  <c r="C192" i="14"/>
  <c r="H214" i="8"/>
  <c r="C214" i="1" s="1"/>
  <c r="C194" i="14"/>
  <c r="C195" i="14"/>
  <c r="C196" i="14"/>
  <c r="C197" i="14"/>
  <c r="C198" i="14"/>
  <c r="C199" i="14"/>
  <c r="C200" i="14"/>
  <c r="C201" i="14"/>
  <c r="C202" i="14"/>
  <c r="C203" i="14"/>
  <c r="AG31" i="1"/>
  <c r="AG33" i="1"/>
  <c r="AG34" i="1"/>
  <c r="AG35" i="1"/>
  <c r="AG36" i="1"/>
  <c r="AG37" i="1"/>
  <c r="AG38" i="1"/>
  <c r="AG41" i="1"/>
  <c r="AG89" i="1"/>
  <c r="AG113" i="1"/>
  <c r="AG143" i="1"/>
  <c r="AG144" i="1"/>
  <c r="AG145" i="1"/>
  <c r="AG152" i="1"/>
  <c r="AG195" i="1"/>
  <c r="D7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7" i="14"/>
  <c r="D40" i="14"/>
  <c r="D42" i="14"/>
  <c r="D56" i="14"/>
  <c r="D57" i="14"/>
  <c r="D58" i="14"/>
  <c r="D59" i="14"/>
  <c r="D60" i="14"/>
  <c r="D61" i="14"/>
  <c r="D62" i="14"/>
  <c r="D63" i="14"/>
  <c r="D64" i="14"/>
  <c r="D65" i="14"/>
  <c r="D91" i="14"/>
  <c r="D99" i="14"/>
  <c r="D102" i="14"/>
  <c r="D103" i="14"/>
  <c r="D104" i="14"/>
  <c r="D105" i="14"/>
  <c r="D106" i="14"/>
  <c r="D107" i="14"/>
  <c r="D108" i="14"/>
  <c r="D123" i="14"/>
  <c r="D124" i="14"/>
  <c r="D125" i="14"/>
  <c r="D126" i="14"/>
  <c r="D127" i="14"/>
  <c r="D128" i="14"/>
  <c r="D130" i="14"/>
  <c r="D135" i="14"/>
  <c r="D136" i="14"/>
  <c r="D139" i="14"/>
  <c r="D140" i="14"/>
  <c r="D148" i="14"/>
  <c r="D149" i="14"/>
  <c r="D162" i="14"/>
  <c r="D171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61" i="8"/>
  <c r="N62" i="8"/>
  <c r="N63" i="8"/>
  <c r="N64" i="8"/>
  <c r="N65" i="8"/>
  <c r="N66" i="8"/>
  <c r="N69" i="8"/>
  <c r="N70" i="8"/>
  <c r="N71" i="8"/>
  <c r="N72" i="8"/>
  <c r="N73" i="8"/>
  <c r="N74" i="8"/>
  <c r="N75" i="8"/>
  <c r="N76" i="8"/>
  <c r="N77" i="8"/>
  <c r="N90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9" i="8"/>
  <c r="N110" i="8"/>
  <c r="N111" i="8"/>
  <c r="N112" i="8"/>
  <c r="N113" i="8"/>
  <c r="N114" i="8"/>
  <c r="N115" i="8"/>
  <c r="N118" i="8"/>
  <c r="N119" i="8"/>
  <c r="N120" i="8"/>
  <c r="N121" i="8"/>
  <c r="N122" i="8"/>
  <c r="N123" i="8"/>
  <c r="N133" i="8"/>
  <c r="N136" i="8"/>
  <c r="N137" i="8"/>
  <c r="N138" i="8"/>
  <c r="N139" i="8"/>
  <c r="N143" i="8"/>
  <c r="N144" i="8"/>
  <c r="N145" i="8"/>
  <c r="N146" i="8"/>
  <c r="N153" i="8"/>
  <c r="N155" i="8"/>
  <c r="N156" i="8"/>
  <c r="N157" i="8"/>
  <c r="N158" i="8"/>
  <c r="N161" i="8"/>
  <c r="N162" i="8"/>
  <c r="N163" i="8"/>
  <c r="N164" i="8"/>
  <c r="N167" i="8"/>
  <c r="N170" i="8"/>
  <c r="N171" i="8"/>
  <c r="N172" i="8"/>
  <c r="N173" i="8"/>
  <c r="N176" i="8"/>
  <c r="N179" i="8"/>
  <c r="N180" i="8"/>
  <c r="N181" i="8"/>
  <c r="N182" i="8"/>
  <c r="N183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H186" i="8"/>
  <c r="C185" i="1" s="1"/>
  <c r="I186" i="8"/>
  <c r="E7" i="14"/>
  <c r="E37" i="14"/>
  <c r="E40" i="14"/>
  <c r="E42" i="14"/>
  <c r="E56" i="14"/>
  <c r="E57" i="14"/>
  <c r="E58" i="14"/>
  <c r="E59" i="14"/>
  <c r="E60" i="14"/>
  <c r="E61" i="14"/>
  <c r="E62" i="14"/>
  <c r="E63" i="14"/>
  <c r="E64" i="14"/>
  <c r="E65" i="14"/>
  <c r="E91" i="14"/>
  <c r="E99" i="14"/>
  <c r="E102" i="14"/>
  <c r="E103" i="14"/>
  <c r="E104" i="14"/>
  <c r="E105" i="14"/>
  <c r="E106" i="14"/>
  <c r="E107" i="14"/>
  <c r="E108" i="14"/>
  <c r="E123" i="14"/>
  <c r="E124" i="14"/>
  <c r="E125" i="14"/>
  <c r="E126" i="14"/>
  <c r="E127" i="14"/>
  <c r="E128" i="14"/>
  <c r="E130" i="14"/>
  <c r="E135" i="14"/>
  <c r="E136" i="14"/>
  <c r="E139" i="14"/>
  <c r="E140" i="14"/>
  <c r="E147" i="14"/>
  <c r="E148" i="14"/>
  <c r="E149" i="14"/>
  <c r="E171" i="14"/>
  <c r="J196" i="1"/>
  <c r="E173" i="14" s="1"/>
  <c r="J200" i="1"/>
  <c r="E177" i="14" s="1"/>
  <c r="J204" i="1"/>
  <c r="E181" i="14" s="1"/>
  <c r="I214" i="8"/>
  <c r="D214" i="1"/>
  <c r="E192" i="14"/>
  <c r="H215" i="8"/>
  <c r="C215" i="1"/>
  <c r="K216" i="1" s="1"/>
  <c r="F193" i="14" s="1"/>
  <c r="E194" i="14"/>
  <c r="E195" i="14"/>
  <c r="E196" i="14"/>
  <c r="E197" i="14"/>
  <c r="E198" i="14"/>
  <c r="E199" i="14"/>
  <c r="E200" i="14"/>
  <c r="E201" i="14"/>
  <c r="E202" i="14"/>
  <c r="E203" i="14"/>
  <c r="A11" i="15"/>
  <c r="S5" i="15"/>
  <c r="S4" i="15"/>
  <c r="S3" i="15"/>
  <c r="S2" i="15"/>
  <c r="I159" i="8"/>
  <c r="H159" i="8"/>
  <c r="C158" i="1" s="1"/>
  <c r="I154" i="8"/>
  <c r="H154" i="8"/>
  <c r="I150" i="8"/>
  <c r="H150" i="8"/>
  <c r="I149" i="8"/>
  <c r="H149" i="8"/>
  <c r="I147" i="8"/>
  <c r="D146" i="1" s="1"/>
  <c r="H147" i="8"/>
  <c r="C146" i="1" s="1"/>
  <c r="N146" i="1" s="1"/>
  <c r="I123" i="14" s="1"/>
  <c r="I233" i="8"/>
  <c r="H233" i="8"/>
  <c r="I232" i="8"/>
  <c r="H232" i="8"/>
  <c r="I231" i="8"/>
  <c r="H231" i="8"/>
  <c r="I230" i="8"/>
  <c r="H230" i="8"/>
  <c r="I229" i="8"/>
  <c r="H229" i="8"/>
  <c r="I228" i="8"/>
  <c r="H228" i="8"/>
  <c r="I227" i="8"/>
  <c r="H227" i="8"/>
  <c r="I226" i="8"/>
  <c r="H226" i="8"/>
  <c r="I225" i="8"/>
  <c r="H225" i="8"/>
  <c r="C225" i="1" s="1"/>
  <c r="I224" i="8"/>
  <c r="H224" i="8"/>
  <c r="I223" i="8"/>
  <c r="H223" i="8"/>
  <c r="I222" i="8"/>
  <c r="H222" i="8"/>
  <c r="I221" i="8"/>
  <c r="H221" i="8"/>
  <c r="C221" i="1" s="1"/>
  <c r="AI221" i="1" s="1"/>
  <c r="I220" i="8"/>
  <c r="H220" i="8"/>
  <c r="I219" i="8"/>
  <c r="H219" i="8"/>
  <c r="I218" i="8"/>
  <c r="H218" i="8"/>
  <c r="I217" i="8"/>
  <c r="H217" i="8"/>
  <c r="C217" i="1" s="1"/>
  <c r="AI217" i="1" s="1"/>
  <c r="I216" i="8"/>
  <c r="H216" i="8"/>
  <c r="I215" i="8"/>
  <c r="I195" i="8"/>
  <c r="H195" i="8"/>
  <c r="C194" i="1" s="1"/>
  <c r="I173" i="8"/>
  <c r="H173" i="8"/>
  <c r="I172" i="8"/>
  <c r="H172" i="8"/>
  <c r="C171" i="1" s="1"/>
  <c r="I123" i="8"/>
  <c r="H123" i="8"/>
  <c r="I115" i="8"/>
  <c r="H115" i="8"/>
  <c r="C114" i="1" s="1"/>
  <c r="H89" i="8"/>
  <c r="C88" i="1" s="1"/>
  <c r="H88" i="8"/>
  <c r="H87" i="8"/>
  <c r="H86" i="8"/>
  <c r="H85" i="8"/>
  <c r="C84" i="1" s="1"/>
  <c r="H84" i="8"/>
  <c r="H83" i="8"/>
  <c r="H82" i="8"/>
  <c r="C81" i="1" s="1"/>
  <c r="H81" i="8"/>
  <c r="C80" i="1" s="1"/>
  <c r="H80" i="8"/>
  <c r="H66" i="8"/>
  <c r="H64" i="8"/>
  <c r="K64" i="8" s="1"/>
  <c r="L64" i="8" s="1"/>
  <c r="H61" i="8"/>
  <c r="K61" i="8" s="1"/>
  <c r="L61" i="8" s="1"/>
  <c r="I89" i="8"/>
  <c r="I88" i="8"/>
  <c r="I87" i="8"/>
  <c r="D86" i="1" s="1"/>
  <c r="I86" i="8"/>
  <c r="I85" i="8"/>
  <c r="I84" i="8"/>
  <c r="I83" i="8"/>
  <c r="D82" i="1" s="1"/>
  <c r="I82" i="8"/>
  <c r="I81" i="8"/>
  <c r="I80" i="8"/>
  <c r="I66" i="8"/>
  <c r="D65" i="1" s="1"/>
  <c r="I64" i="8"/>
  <c r="I61" i="8"/>
  <c r="I58" i="8"/>
  <c r="I57" i="8"/>
  <c r="K57" i="8" s="1"/>
  <c r="L57" i="8" s="1"/>
  <c r="I56" i="8"/>
  <c r="I55" i="8"/>
  <c r="I54" i="8"/>
  <c r="I53" i="8"/>
  <c r="K53" i="8" s="1"/>
  <c r="L53" i="8" s="1"/>
  <c r="I51" i="8"/>
  <c r="I50" i="8"/>
  <c r="I49" i="8"/>
  <c r="I48" i="8"/>
  <c r="I47" i="8"/>
  <c r="I46" i="8"/>
  <c r="I45" i="8"/>
  <c r="I44" i="8"/>
  <c r="K44" i="8" s="1"/>
  <c r="L44" i="8" s="1"/>
  <c r="I43" i="8"/>
  <c r="D50" i="1" s="1"/>
  <c r="I42" i="8"/>
  <c r="I41" i="8"/>
  <c r="I40" i="8"/>
  <c r="D47" i="1" s="1"/>
  <c r="I39" i="8"/>
  <c r="I38" i="8"/>
  <c r="I37" i="8"/>
  <c r="I23" i="8"/>
  <c r="D30" i="1" s="1"/>
  <c r="G10" i="2" s="1"/>
  <c r="H58" i="8"/>
  <c r="H57" i="8"/>
  <c r="H56" i="8"/>
  <c r="H55" i="8"/>
  <c r="K55" i="8" s="1"/>
  <c r="L55" i="8" s="1"/>
  <c r="H54" i="8"/>
  <c r="H53" i="8"/>
  <c r="H51" i="8"/>
  <c r="H50" i="8"/>
  <c r="C56" i="1" s="1"/>
  <c r="H49" i="8"/>
  <c r="C55" i="1" s="1"/>
  <c r="H48" i="8"/>
  <c r="H47" i="8"/>
  <c r="H46" i="8"/>
  <c r="C53" i="1" s="1"/>
  <c r="H45" i="8"/>
  <c r="C52" i="1" s="1"/>
  <c r="H44" i="8"/>
  <c r="H43" i="8"/>
  <c r="H42" i="8"/>
  <c r="K42" i="8" s="1"/>
  <c r="L42" i="8" s="1"/>
  <c r="H41" i="8"/>
  <c r="C48" i="1" s="1"/>
  <c r="H40" i="8"/>
  <c r="H39" i="8"/>
  <c r="H38" i="8"/>
  <c r="K38" i="8" s="1"/>
  <c r="H37" i="8"/>
  <c r="C44" i="1" s="1"/>
  <c r="H23" i="8"/>
  <c r="C30" i="1" s="1"/>
  <c r="F10" i="2" s="1"/>
  <c r="I18" i="8"/>
  <c r="I17" i="8"/>
  <c r="D25" i="1" s="1"/>
  <c r="I16" i="8"/>
  <c r="I12" i="8"/>
  <c r="F20" i="1" s="1"/>
  <c r="I11" i="8"/>
  <c r="H18" i="8"/>
  <c r="H17" i="8"/>
  <c r="C25" i="1" s="1"/>
  <c r="H16" i="8"/>
  <c r="H12" i="8"/>
  <c r="H13" i="8"/>
  <c r="C21" i="1" s="1"/>
  <c r="H11" i="8"/>
  <c r="C19" i="1" s="1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G23" i="17"/>
  <c r="Y3" i="17"/>
  <c r="Y5" i="17" s="1"/>
  <c r="X3" i="17"/>
  <c r="X5" i="17" s="1"/>
  <c r="U8" i="17" s="1"/>
  <c r="W3" i="17"/>
  <c r="W5" i="17" s="1"/>
  <c r="V3" i="17"/>
  <c r="V5" i="17" s="1"/>
  <c r="U3" i="17"/>
  <c r="U5" i="17" s="1"/>
  <c r="I19" i="8"/>
  <c r="H19" i="8"/>
  <c r="C26" i="1" s="1"/>
  <c r="K141" i="1"/>
  <c r="J141" i="1"/>
  <c r="I141" i="1"/>
  <c r="H141" i="1"/>
  <c r="C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1" i="8"/>
  <c r="AI210" i="1" s="1"/>
  <c r="J210" i="8"/>
  <c r="AI209" i="1"/>
  <c r="J209" i="8"/>
  <c r="AI208" i="1" s="1"/>
  <c r="J208" i="8"/>
  <c r="AI207" i="1"/>
  <c r="J207" i="8"/>
  <c r="AI206" i="1" s="1"/>
  <c r="J206" i="8"/>
  <c r="AI205" i="1"/>
  <c r="J205" i="8"/>
  <c r="AI204" i="1" s="1"/>
  <c r="J204" i="8"/>
  <c r="AI203" i="1"/>
  <c r="J203" i="8"/>
  <c r="AI202" i="1" s="1"/>
  <c r="J202" i="8"/>
  <c r="AI201" i="1"/>
  <c r="J201" i="8"/>
  <c r="AI200" i="1" s="1"/>
  <c r="J200" i="8"/>
  <c r="AI199" i="1"/>
  <c r="J199" i="8"/>
  <c r="AI198" i="1" s="1"/>
  <c r="J198" i="8"/>
  <c r="AI197" i="1"/>
  <c r="J197" i="8"/>
  <c r="AI196" i="1" s="1"/>
  <c r="J196" i="8"/>
  <c r="AI195" i="1" s="1"/>
  <c r="J195" i="8"/>
  <c r="AI194" i="1" s="1"/>
  <c r="J194" i="8"/>
  <c r="AI193" i="1" s="1"/>
  <c r="J193" i="8"/>
  <c r="AI192" i="1" s="1"/>
  <c r="J192" i="8"/>
  <c r="AI191" i="1" s="1"/>
  <c r="J191" i="8"/>
  <c r="AI190" i="1" s="1"/>
  <c r="J190" i="8"/>
  <c r="AI189" i="1" s="1"/>
  <c r="J189" i="8"/>
  <c r="AI188" i="1" s="1"/>
  <c r="J188" i="8"/>
  <c r="AI187" i="1" s="1"/>
  <c r="J187" i="8"/>
  <c r="AI186" i="1" s="1"/>
  <c r="J186" i="8"/>
  <c r="AI185" i="1" s="1"/>
  <c r="J183" i="8"/>
  <c r="AI182" i="1" s="1"/>
  <c r="J182" i="8"/>
  <c r="AI181" i="1" s="1"/>
  <c r="J181" i="8"/>
  <c r="AI180" i="1" s="1"/>
  <c r="J180" i="8"/>
  <c r="AI179" i="1" s="1"/>
  <c r="J179" i="8"/>
  <c r="AI178" i="1" s="1"/>
  <c r="J176" i="8"/>
  <c r="AI175" i="1" s="1"/>
  <c r="AI174" i="1" s="1"/>
  <c r="J173" i="8"/>
  <c r="AI172" i="1" s="1"/>
  <c r="J172" i="8"/>
  <c r="AI171" i="1" s="1"/>
  <c r="J171" i="8"/>
  <c r="AI170" i="1" s="1"/>
  <c r="J170" i="8"/>
  <c r="AI169" i="1" s="1"/>
  <c r="J167" i="8"/>
  <c r="AI166" i="1" s="1"/>
  <c r="AI165" i="1" s="1"/>
  <c r="J164" i="8"/>
  <c r="AI163" i="1" s="1"/>
  <c r="J163" i="8"/>
  <c r="AI162" i="1" s="1"/>
  <c r="J162" i="8"/>
  <c r="AI161" i="1" s="1"/>
  <c r="J161" i="8"/>
  <c r="AI160" i="1" s="1"/>
  <c r="J160" i="8"/>
  <c r="AI159" i="1" s="1"/>
  <c r="J159" i="8"/>
  <c r="AI158" i="1" s="1"/>
  <c r="J158" i="8"/>
  <c r="AI157" i="1" s="1"/>
  <c r="J157" i="8"/>
  <c r="AI156" i="1" s="1"/>
  <c r="J156" i="8"/>
  <c r="AI155" i="1" s="1"/>
  <c r="J155" i="8"/>
  <c r="AI154" i="1" s="1"/>
  <c r="J154" i="8"/>
  <c r="AI153" i="1" s="1"/>
  <c r="J153" i="8"/>
  <c r="AI152" i="1" s="1"/>
  <c r="J152" i="8"/>
  <c r="AI151" i="1" s="1"/>
  <c r="J151" i="8"/>
  <c r="AI150" i="1" s="1"/>
  <c r="J150" i="8"/>
  <c r="AI149" i="1" s="1"/>
  <c r="J149" i="8"/>
  <c r="AI148" i="1" s="1"/>
  <c r="J148" i="8"/>
  <c r="AI147" i="1" s="1"/>
  <c r="J147" i="8"/>
  <c r="AI146" i="1" s="1"/>
  <c r="J146" i="8"/>
  <c r="AI145" i="1" s="1"/>
  <c r="J145" i="8"/>
  <c r="AI144" i="1" s="1"/>
  <c r="J144" i="8"/>
  <c r="AI143" i="1" s="1"/>
  <c r="J143" i="8"/>
  <c r="AI142" i="1" s="1"/>
  <c r="J139" i="8"/>
  <c r="AI138" i="1" s="1"/>
  <c r="J138" i="8"/>
  <c r="AI137" i="1" s="1"/>
  <c r="J137" i="8"/>
  <c r="AI136" i="1" s="1"/>
  <c r="J136" i="8"/>
  <c r="AI135" i="1" s="1"/>
  <c r="J133" i="8"/>
  <c r="AI132" i="1" s="1"/>
  <c r="J132" i="8"/>
  <c r="AI131" i="1" s="1"/>
  <c r="J131" i="8"/>
  <c r="AI130" i="1" s="1"/>
  <c r="J130" i="8"/>
  <c r="AI129" i="1" s="1"/>
  <c r="J129" i="8"/>
  <c r="AI128" i="1" s="1"/>
  <c r="J128" i="8"/>
  <c r="AI127" i="1" s="1"/>
  <c r="J127" i="8"/>
  <c r="AI126" i="1" s="1"/>
  <c r="J126" i="8"/>
  <c r="AI125" i="1" s="1"/>
  <c r="J123" i="8"/>
  <c r="AI122" i="1" s="1"/>
  <c r="J122" i="8"/>
  <c r="AI121" i="1" s="1"/>
  <c r="J121" i="8"/>
  <c r="AI120" i="1" s="1"/>
  <c r="J120" i="8"/>
  <c r="AI119" i="1" s="1"/>
  <c r="J119" i="8"/>
  <c r="AI118" i="1"/>
  <c r="J118" i="8"/>
  <c r="AI117" i="1" s="1"/>
  <c r="J115" i="8"/>
  <c r="AI114" i="1" s="1"/>
  <c r="J114" i="8"/>
  <c r="AI113" i="1" s="1"/>
  <c r="J113" i="8"/>
  <c r="AI112" i="1" s="1"/>
  <c r="J112" i="8"/>
  <c r="AI111" i="1" s="1"/>
  <c r="J111" i="8"/>
  <c r="AI110" i="1" s="1"/>
  <c r="J110" i="8"/>
  <c r="AI109" i="1" s="1"/>
  <c r="J109" i="8"/>
  <c r="AI108" i="1"/>
  <c r="J106" i="8"/>
  <c r="AI105" i="1" s="1"/>
  <c r="J105" i="8"/>
  <c r="AI104" i="1" s="1"/>
  <c r="J104" i="8"/>
  <c r="AI103" i="1" s="1"/>
  <c r="J103" i="8"/>
  <c r="AI102" i="1" s="1"/>
  <c r="J102" i="8"/>
  <c r="AI101" i="1" s="1"/>
  <c r="J101" i="8"/>
  <c r="AI100" i="1" s="1"/>
  <c r="J100" i="8"/>
  <c r="AI99" i="1" s="1"/>
  <c r="J99" i="8"/>
  <c r="AI98" i="1" s="1"/>
  <c r="J98" i="8"/>
  <c r="AI97" i="1" s="1"/>
  <c r="J97" i="8"/>
  <c r="AI96" i="1" s="1"/>
  <c r="J96" i="8"/>
  <c r="AI95" i="1" s="1"/>
  <c r="J95" i="8"/>
  <c r="AI94" i="1" s="1"/>
  <c r="J94" i="8"/>
  <c r="AI93" i="1" s="1"/>
  <c r="J90" i="8"/>
  <c r="AI89" i="1" s="1"/>
  <c r="J89" i="8"/>
  <c r="AI88" i="1" s="1"/>
  <c r="J88" i="8"/>
  <c r="AI87" i="1" s="1"/>
  <c r="J87" i="8"/>
  <c r="AI86" i="1" s="1"/>
  <c r="J86" i="8"/>
  <c r="AI85" i="1" s="1"/>
  <c r="J85" i="8"/>
  <c r="AI84" i="1" s="1"/>
  <c r="J84" i="8"/>
  <c r="AI83" i="1" s="1"/>
  <c r="J83" i="8"/>
  <c r="AI82" i="1" s="1"/>
  <c r="J82" i="8"/>
  <c r="AI81" i="1" s="1"/>
  <c r="J81" i="8"/>
  <c r="AI80" i="1" s="1"/>
  <c r="J80" i="8"/>
  <c r="AI79" i="1" s="1"/>
  <c r="J77" i="8"/>
  <c r="AI76" i="1" s="1"/>
  <c r="J76" i="8"/>
  <c r="AI75" i="1" s="1"/>
  <c r="J75" i="8"/>
  <c r="AI74" i="1" s="1"/>
  <c r="J74" i="8"/>
  <c r="AI73" i="1" s="1"/>
  <c r="J73" i="8"/>
  <c r="AI72" i="1" s="1"/>
  <c r="J72" i="8"/>
  <c r="AI71" i="1" s="1"/>
  <c r="J71" i="8"/>
  <c r="AI70" i="1" s="1"/>
  <c r="J70" i="8"/>
  <c r="AI69" i="1" s="1"/>
  <c r="J69" i="8"/>
  <c r="AI68" i="1" s="1"/>
  <c r="J66" i="8"/>
  <c r="AI65" i="1" s="1"/>
  <c r="J65" i="8"/>
  <c r="AI64" i="1" s="1"/>
  <c r="J64" i="8"/>
  <c r="AI63" i="1" s="1"/>
  <c r="J63" i="8"/>
  <c r="AI62" i="1" s="1"/>
  <c r="J62" i="8"/>
  <c r="AI61" i="1" s="1"/>
  <c r="J61" i="8"/>
  <c r="AI60" i="1" s="1"/>
  <c r="J58" i="8"/>
  <c r="J57" i="8"/>
  <c r="J56" i="8"/>
  <c r="J55" i="8"/>
  <c r="J54" i="8"/>
  <c r="J53" i="8"/>
  <c r="J51" i="8"/>
  <c r="J50" i="8"/>
  <c r="AI57" i="1" s="1"/>
  <c r="J49" i="8"/>
  <c r="AI56" i="1" s="1"/>
  <c r="J48" i="8"/>
  <c r="AI55" i="1" s="1"/>
  <c r="J47" i="8"/>
  <c r="AI54" i="1" s="1"/>
  <c r="J46" i="8"/>
  <c r="AI53" i="1" s="1"/>
  <c r="J45" i="8"/>
  <c r="AI52" i="1" s="1"/>
  <c r="J44" i="8"/>
  <c r="AI51" i="1" s="1"/>
  <c r="J43" i="8"/>
  <c r="AI50" i="1" s="1"/>
  <c r="J42" i="8"/>
  <c r="AI49" i="1" s="1"/>
  <c r="J41" i="8"/>
  <c r="AI48" i="1" s="1"/>
  <c r="J40" i="8"/>
  <c r="AI47" i="1" s="1"/>
  <c r="J39" i="8"/>
  <c r="AI46" i="1" s="1"/>
  <c r="J38" i="8"/>
  <c r="AI45" i="1" s="1"/>
  <c r="J37" i="8"/>
  <c r="AI44" i="1" s="1"/>
  <c r="J34" i="8"/>
  <c r="AI41" i="1" s="1"/>
  <c r="J33" i="8"/>
  <c r="AI40" i="1" s="1"/>
  <c r="J32" i="8"/>
  <c r="AI39" i="1" s="1"/>
  <c r="J31" i="8"/>
  <c r="AI38" i="1" s="1"/>
  <c r="J29" i="8"/>
  <c r="AI36" i="1" s="1"/>
  <c r="J28" i="8"/>
  <c r="AI35" i="1" s="1"/>
  <c r="J27" i="8"/>
  <c r="AI34" i="1" s="1"/>
  <c r="J26" i="8"/>
  <c r="AI33" i="1" s="1"/>
  <c r="J25" i="8"/>
  <c r="AI32" i="1" s="1"/>
  <c r="J24" i="8"/>
  <c r="AI31" i="1" s="1"/>
  <c r="J23" i="8"/>
  <c r="AI30" i="1" s="1"/>
  <c r="AI248" i="1" s="1"/>
  <c r="AI249" i="1" s="1"/>
  <c r="J22" i="8"/>
  <c r="AI29" i="1" s="1"/>
  <c r="J21" i="8"/>
  <c r="AI28" i="1" s="1"/>
  <c r="J30" i="8"/>
  <c r="AI37" i="1" s="1"/>
  <c r="Q176" i="1"/>
  <c r="B215" i="1"/>
  <c r="B214" i="1"/>
  <c r="I18" i="13"/>
  <c r="I20" i="13" s="1"/>
  <c r="L238" i="1" s="1"/>
  <c r="H7" i="13"/>
  <c r="C3" i="8"/>
  <c r="B3" i="1" s="1"/>
  <c r="C2" i="8"/>
  <c r="B2" i="1" s="1"/>
  <c r="C1" i="8"/>
  <c r="B1" i="1" s="1"/>
  <c r="AG30" i="1"/>
  <c r="AG32" i="1"/>
  <c r="K16" i="14"/>
  <c r="K17" i="14"/>
  <c r="K37" i="14"/>
  <c r="K40" i="14"/>
  <c r="K42" i="14"/>
  <c r="K52" i="14"/>
  <c r="K53" i="14"/>
  <c r="K56" i="14"/>
  <c r="K57" i="14"/>
  <c r="K58" i="14"/>
  <c r="K59" i="14"/>
  <c r="K60" i="14"/>
  <c r="K61" i="14"/>
  <c r="K62" i="14"/>
  <c r="K63" i="14"/>
  <c r="K64" i="14"/>
  <c r="K65" i="14"/>
  <c r="K85" i="14"/>
  <c r="K86" i="14"/>
  <c r="K87" i="14"/>
  <c r="K88" i="14"/>
  <c r="K89" i="14"/>
  <c r="K90" i="14"/>
  <c r="K94" i="14"/>
  <c r="K95" i="14"/>
  <c r="K96" i="14"/>
  <c r="K97" i="14"/>
  <c r="K102" i="14"/>
  <c r="K103" i="14"/>
  <c r="K104" i="14"/>
  <c r="K105" i="14"/>
  <c r="K106" i="14"/>
  <c r="K107" i="14"/>
  <c r="K108" i="14"/>
  <c r="K113" i="14"/>
  <c r="K114" i="14"/>
  <c r="K120" i="14"/>
  <c r="K121" i="14"/>
  <c r="K122" i="14"/>
  <c r="K124" i="14"/>
  <c r="K125" i="14"/>
  <c r="K126" i="14"/>
  <c r="K127" i="14"/>
  <c r="K128" i="14"/>
  <c r="K130" i="14"/>
  <c r="K132" i="14"/>
  <c r="K133" i="14"/>
  <c r="K134" i="14"/>
  <c r="K135" i="14"/>
  <c r="K139" i="14"/>
  <c r="K140" i="14"/>
  <c r="K143" i="14"/>
  <c r="K147" i="14"/>
  <c r="K148" i="14"/>
  <c r="K149" i="14"/>
  <c r="K158" i="14"/>
  <c r="K159" i="14"/>
  <c r="K164" i="14"/>
  <c r="K165" i="14"/>
  <c r="K166" i="14"/>
  <c r="K167" i="14"/>
  <c r="K168" i="14"/>
  <c r="K169" i="14"/>
  <c r="K170" i="14"/>
  <c r="K177" i="14"/>
  <c r="K178" i="14"/>
  <c r="K179" i="14"/>
  <c r="K180" i="14"/>
  <c r="K181" i="14"/>
  <c r="K182" i="14"/>
  <c r="K183" i="14"/>
  <c r="K184" i="14"/>
  <c r="K185" i="14"/>
  <c r="K186" i="14"/>
  <c r="K187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J5" i="14"/>
  <c r="J16" i="14"/>
  <c r="J17" i="14"/>
  <c r="J37" i="14"/>
  <c r="J38" i="14"/>
  <c r="J39" i="14"/>
  <c r="J40" i="14"/>
  <c r="J41" i="14"/>
  <c r="J42" i="14"/>
  <c r="J45" i="14"/>
  <c r="J46" i="14"/>
  <c r="J47" i="14"/>
  <c r="J48" i="14"/>
  <c r="J49" i="14"/>
  <c r="J50" i="14"/>
  <c r="J51" i="14"/>
  <c r="J52" i="14"/>
  <c r="J53" i="14"/>
  <c r="J56" i="14"/>
  <c r="J57" i="14"/>
  <c r="J58" i="14"/>
  <c r="J59" i="14"/>
  <c r="J60" i="14"/>
  <c r="J61" i="14"/>
  <c r="J62" i="14"/>
  <c r="J63" i="14"/>
  <c r="J64" i="14"/>
  <c r="J65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5" i="14"/>
  <c r="J86" i="14"/>
  <c r="J87" i="14"/>
  <c r="J88" i="14"/>
  <c r="J91" i="14"/>
  <c r="J94" i="14"/>
  <c r="J95" i="14"/>
  <c r="J96" i="14"/>
  <c r="J97" i="14"/>
  <c r="J99" i="14"/>
  <c r="J112" i="14"/>
  <c r="J113" i="14"/>
  <c r="J114" i="14"/>
  <c r="J115" i="14"/>
  <c r="J119" i="14"/>
  <c r="J120" i="14"/>
  <c r="J121" i="14"/>
  <c r="J122" i="14"/>
  <c r="J127" i="14"/>
  <c r="J128" i="14"/>
  <c r="J130" i="14"/>
  <c r="J135" i="14"/>
  <c r="J140" i="14"/>
  <c r="J143" i="14"/>
  <c r="J146" i="14"/>
  <c r="J148" i="14"/>
  <c r="J149" i="14"/>
  <c r="J152" i="14"/>
  <c r="J155" i="14"/>
  <c r="J156" i="14"/>
  <c r="J157" i="14"/>
  <c r="J158" i="14"/>
  <c r="J159" i="14"/>
  <c r="J163" i="14"/>
  <c r="J164" i="14"/>
  <c r="J165" i="14"/>
  <c r="J166" i="14"/>
  <c r="J167" i="14"/>
  <c r="J168" i="14"/>
  <c r="J169" i="14"/>
  <c r="J170" i="14"/>
  <c r="J171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AA30" i="1"/>
  <c r="AA31" i="1"/>
  <c r="AA32" i="1"/>
  <c r="AA33" i="1"/>
  <c r="AA34" i="1"/>
  <c r="AA35" i="1"/>
  <c r="AA37" i="1"/>
  <c r="AA38" i="1"/>
  <c r="AA41" i="1"/>
  <c r="I40" i="14"/>
  <c r="I42" i="14"/>
  <c r="I56" i="14"/>
  <c r="I57" i="14"/>
  <c r="I58" i="14"/>
  <c r="I59" i="14"/>
  <c r="I60" i="14"/>
  <c r="I61" i="14"/>
  <c r="I62" i="14"/>
  <c r="I63" i="14"/>
  <c r="I64" i="14"/>
  <c r="I65" i="14"/>
  <c r="I120" i="14"/>
  <c r="I121" i="14"/>
  <c r="I122" i="14"/>
  <c r="I130" i="14"/>
  <c r="I135" i="14"/>
  <c r="I143" i="14"/>
  <c r="I146" i="14"/>
  <c r="I148" i="14"/>
  <c r="I149" i="14"/>
  <c r="I164" i="14"/>
  <c r="I165" i="14"/>
  <c r="I166" i="14"/>
  <c r="I167" i="14"/>
  <c r="I168" i="14"/>
  <c r="I169" i="14"/>
  <c r="I17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F8" i="2"/>
  <c r="R5" i="8"/>
  <c r="B30" i="1" s="1"/>
  <c r="B7" i="14" s="1"/>
  <c r="C47" i="1"/>
  <c r="C51" i="1"/>
  <c r="D63" i="1"/>
  <c r="C122" i="1"/>
  <c r="D148" i="1"/>
  <c r="C149" i="1"/>
  <c r="D149" i="1"/>
  <c r="C24" i="1"/>
  <c r="D24" i="1"/>
  <c r="E24" i="1" s="1"/>
  <c r="D45" i="1"/>
  <c r="D46" i="1"/>
  <c r="D49" i="1"/>
  <c r="D53" i="1"/>
  <c r="D54" i="1"/>
  <c r="D56" i="1"/>
  <c r="D57" i="1"/>
  <c r="D60" i="1"/>
  <c r="D122" i="1"/>
  <c r="D153" i="1"/>
  <c r="D158" i="1"/>
  <c r="D172" i="1"/>
  <c r="K123" i="8"/>
  <c r="L123" i="8" s="1"/>
  <c r="I13" i="8"/>
  <c r="D21" i="1" s="1"/>
  <c r="N5" i="14"/>
  <c r="AH30" i="1"/>
  <c r="AD30" i="1"/>
  <c r="N7" i="14"/>
  <c r="AH31" i="1"/>
  <c r="AD31" i="1"/>
  <c r="AH32" i="1"/>
  <c r="AD32" i="1"/>
  <c r="AH33" i="1"/>
  <c r="AD33" i="1"/>
  <c r="N10" i="14"/>
  <c r="AH34" i="1"/>
  <c r="AD34" i="1"/>
  <c r="AH35" i="1"/>
  <c r="AD35" i="1"/>
  <c r="AH37" i="1"/>
  <c r="AD37" i="1"/>
  <c r="N14" i="14"/>
  <c r="AH38" i="1"/>
  <c r="AD38" i="1"/>
  <c r="L16" i="14"/>
  <c r="N16" i="14"/>
  <c r="L17" i="14"/>
  <c r="N17" i="14"/>
  <c r="AH41" i="1"/>
  <c r="AD41" i="1"/>
  <c r="F37" i="14"/>
  <c r="G37" i="14"/>
  <c r="H37" i="14"/>
  <c r="L37" i="14"/>
  <c r="M37" i="14"/>
  <c r="N37" i="14"/>
  <c r="H38" i="14"/>
  <c r="M38" i="14"/>
  <c r="N38" i="14"/>
  <c r="H39" i="14"/>
  <c r="M39" i="14"/>
  <c r="N39" i="14"/>
  <c r="F40" i="14"/>
  <c r="G40" i="14"/>
  <c r="H40" i="14"/>
  <c r="L40" i="14"/>
  <c r="M40" i="14"/>
  <c r="N40" i="14"/>
  <c r="H41" i="14"/>
  <c r="M41" i="14"/>
  <c r="N41" i="14"/>
  <c r="F42" i="14"/>
  <c r="G42" i="14"/>
  <c r="H42" i="14"/>
  <c r="L42" i="14"/>
  <c r="M42" i="14"/>
  <c r="N42" i="14"/>
  <c r="H45" i="14"/>
  <c r="M45" i="14"/>
  <c r="N45" i="14"/>
  <c r="H46" i="14"/>
  <c r="M46" i="14"/>
  <c r="N46" i="14"/>
  <c r="H47" i="14"/>
  <c r="M47" i="14"/>
  <c r="N47" i="14"/>
  <c r="H48" i="14"/>
  <c r="M48" i="14"/>
  <c r="N48" i="14"/>
  <c r="H49" i="14"/>
  <c r="M49" i="14"/>
  <c r="N49" i="14"/>
  <c r="H50" i="14"/>
  <c r="M50" i="14"/>
  <c r="N50" i="14"/>
  <c r="H51" i="14"/>
  <c r="M51" i="14"/>
  <c r="N51" i="14"/>
  <c r="H52" i="14"/>
  <c r="L52" i="14"/>
  <c r="M52" i="14"/>
  <c r="N52" i="14"/>
  <c r="H53" i="14"/>
  <c r="L53" i="14"/>
  <c r="M53" i="14"/>
  <c r="N53" i="14"/>
  <c r="F56" i="14"/>
  <c r="G56" i="14"/>
  <c r="H56" i="14"/>
  <c r="L56" i="14"/>
  <c r="M56" i="14"/>
  <c r="N56" i="14"/>
  <c r="F57" i="14"/>
  <c r="G57" i="14"/>
  <c r="H57" i="14"/>
  <c r="L57" i="14"/>
  <c r="M57" i="14"/>
  <c r="N57" i="14"/>
  <c r="F58" i="14"/>
  <c r="G58" i="14"/>
  <c r="H58" i="14"/>
  <c r="L58" i="14"/>
  <c r="M58" i="14"/>
  <c r="N58" i="14"/>
  <c r="F59" i="14"/>
  <c r="G59" i="14"/>
  <c r="H59" i="14"/>
  <c r="L59" i="14"/>
  <c r="M59" i="14"/>
  <c r="N59" i="14"/>
  <c r="F60" i="14"/>
  <c r="G60" i="14"/>
  <c r="H60" i="14"/>
  <c r="L60" i="14"/>
  <c r="M60" i="14"/>
  <c r="N60" i="14"/>
  <c r="F61" i="14"/>
  <c r="G61" i="14"/>
  <c r="H61" i="14"/>
  <c r="L61" i="14"/>
  <c r="M61" i="14"/>
  <c r="N61" i="14"/>
  <c r="F62" i="14"/>
  <c r="G62" i="14"/>
  <c r="H62" i="14"/>
  <c r="L62" i="14"/>
  <c r="M62" i="14"/>
  <c r="N62" i="14"/>
  <c r="F63" i="14"/>
  <c r="G63" i="14"/>
  <c r="H63" i="14"/>
  <c r="L63" i="14"/>
  <c r="M63" i="14"/>
  <c r="N63" i="14"/>
  <c r="F64" i="14"/>
  <c r="G64" i="14"/>
  <c r="H64" i="14"/>
  <c r="L64" i="14"/>
  <c r="M64" i="14"/>
  <c r="N64" i="14"/>
  <c r="F65" i="14"/>
  <c r="G65" i="14"/>
  <c r="H65" i="14"/>
  <c r="L65" i="14"/>
  <c r="M65" i="14"/>
  <c r="N65" i="14"/>
  <c r="H66" i="14"/>
  <c r="M66" i="14"/>
  <c r="H70" i="14"/>
  <c r="M70" i="14"/>
  <c r="N70" i="14"/>
  <c r="H71" i="14"/>
  <c r="M71" i="14"/>
  <c r="N71" i="14"/>
  <c r="H72" i="14"/>
  <c r="M72" i="14"/>
  <c r="N72" i="14"/>
  <c r="H73" i="14"/>
  <c r="M73" i="14"/>
  <c r="N73" i="14"/>
  <c r="H74" i="14"/>
  <c r="M74" i="14"/>
  <c r="N74" i="14"/>
  <c r="H75" i="14"/>
  <c r="M75" i="14"/>
  <c r="N75" i="14"/>
  <c r="H76" i="14"/>
  <c r="M76" i="14"/>
  <c r="N76" i="14"/>
  <c r="H77" i="14"/>
  <c r="M77" i="14"/>
  <c r="N77" i="14"/>
  <c r="H78" i="14"/>
  <c r="M78" i="14"/>
  <c r="N78" i="14"/>
  <c r="H79" i="14"/>
  <c r="M79" i="14"/>
  <c r="N79" i="14"/>
  <c r="H80" i="14"/>
  <c r="M80" i="14"/>
  <c r="N80" i="14"/>
  <c r="H81" i="14"/>
  <c r="M81" i="14"/>
  <c r="N81" i="14"/>
  <c r="H82" i="14"/>
  <c r="M82" i="14"/>
  <c r="N82" i="14"/>
  <c r="H85" i="14"/>
  <c r="L85" i="14"/>
  <c r="M85" i="14"/>
  <c r="N85" i="14"/>
  <c r="H86" i="14"/>
  <c r="L86" i="14"/>
  <c r="M86" i="14"/>
  <c r="N86" i="14"/>
  <c r="H87" i="14"/>
  <c r="L87" i="14"/>
  <c r="M87" i="14"/>
  <c r="N87" i="14"/>
  <c r="H88" i="14"/>
  <c r="L88" i="14"/>
  <c r="M88" i="14"/>
  <c r="N88" i="14"/>
  <c r="H89" i="14"/>
  <c r="L89" i="14"/>
  <c r="M89" i="14"/>
  <c r="N89" i="14"/>
  <c r="H90" i="14"/>
  <c r="L90" i="14"/>
  <c r="M90" i="14"/>
  <c r="F91" i="14"/>
  <c r="G91" i="14"/>
  <c r="H91" i="14"/>
  <c r="M91" i="14"/>
  <c r="N91" i="14"/>
  <c r="H94" i="14"/>
  <c r="L94" i="14"/>
  <c r="M94" i="14"/>
  <c r="N94" i="14"/>
  <c r="H95" i="14"/>
  <c r="L95" i="14"/>
  <c r="M95" i="14"/>
  <c r="N95" i="14"/>
  <c r="H96" i="14"/>
  <c r="L96" i="14"/>
  <c r="M96" i="14"/>
  <c r="N96" i="14"/>
  <c r="H97" i="14"/>
  <c r="L97" i="14"/>
  <c r="M97" i="14"/>
  <c r="N97" i="14"/>
  <c r="H98" i="14"/>
  <c r="L98" i="14"/>
  <c r="M98" i="14"/>
  <c r="N98" i="14"/>
  <c r="F99" i="14"/>
  <c r="G99" i="14"/>
  <c r="H99" i="14"/>
  <c r="M99" i="14"/>
  <c r="N99" i="14"/>
  <c r="F102" i="14"/>
  <c r="G102" i="14"/>
  <c r="H102" i="14"/>
  <c r="L102" i="14"/>
  <c r="M102" i="14"/>
  <c r="N102" i="14"/>
  <c r="F103" i="14"/>
  <c r="G103" i="14"/>
  <c r="H103" i="14"/>
  <c r="L103" i="14"/>
  <c r="M103" i="14"/>
  <c r="N103" i="14"/>
  <c r="F104" i="14"/>
  <c r="G104" i="14"/>
  <c r="H104" i="14"/>
  <c r="L104" i="14"/>
  <c r="M104" i="14"/>
  <c r="N104" i="14"/>
  <c r="F105" i="14"/>
  <c r="G105" i="14"/>
  <c r="H105" i="14"/>
  <c r="L105" i="14"/>
  <c r="M105" i="14"/>
  <c r="N105" i="14"/>
  <c r="F106" i="14"/>
  <c r="G106" i="14"/>
  <c r="H106" i="14"/>
  <c r="L106" i="14"/>
  <c r="M106" i="14"/>
  <c r="N106" i="14"/>
  <c r="F107" i="14"/>
  <c r="G107" i="14"/>
  <c r="H107" i="14"/>
  <c r="L107" i="14"/>
  <c r="M107" i="14"/>
  <c r="N107" i="14"/>
  <c r="F108" i="14"/>
  <c r="G108" i="14"/>
  <c r="H108" i="14"/>
  <c r="L108" i="14"/>
  <c r="M108" i="14"/>
  <c r="H109" i="14"/>
  <c r="M109" i="14"/>
  <c r="H112" i="14"/>
  <c r="L112" i="14"/>
  <c r="M112" i="14"/>
  <c r="N112" i="14"/>
  <c r="H113" i="14"/>
  <c r="L113" i="14"/>
  <c r="M113" i="14"/>
  <c r="N113" i="14"/>
  <c r="H114" i="14"/>
  <c r="L114" i="14"/>
  <c r="M114" i="14"/>
  <c r="N114" i="14"/>
  <c r="H115" i="14"/>
  <c r="M115" i="14"/>
  <c r="N115" i="14"/>
  <c r="H119" i="14"/>
  <c r="M119" i="14"/>
  <c r="N119" i="14"/>
  <c r="H120" i="14"/>
  <c r="L120" i="14"/>
  <c r="M120" i="14"/>
  <c r="N120" i="14"/>
  <c r="H121" i="14"/>
  <c r="L121" i="14"/>
  <c r="M121" i="14"/>
  <c r="N121" i="14"/>
  <c r="H122" i="14"/>
  <c r="L122" i="14"/>
  <c r="M122" i="14"/>
  <c r="N122" i="14"/>
  <c r="F123" i="14"/>
  <c r="G123" i="14"/>
  <c r="H123" i="14"/>
  <c r="M123" i="14"/>
  <c r="H124" i="14"/>
  <c r="L124" i="14"/>
  <c r="M124" i="14"/>
  <c r="N124" i="14"/>
  <c r="F125" i="14"/>
  <c r="G125" i="14"/>
  <c r="H125" i="14"/>
  <c r="L125" i="14"/>
  <c r="M125" i="14"/>
  <c r="N125" i="14"/>
  <c r="F126" i="14"/>
  <c r="G126" i="14"/>
  <c r="H126" i="14"/>
  <c r="L126" i="14"/>
  <c r="M126" i="14"/>
  <c r="N126" i="14"/>
  <c r="F127" i="14"/>
  <c r="G127" i="14"/>
  <c r="H127" i="14"/>
  <c r="L127" i="14"/>
  <c r="M127" i="14"/>
  <c r="N127" i="14"/>
  <c r="F128" i="14"/>
  <c r="G128" i="14"/>
  <c r="H128" i="14"/>
  <c r="L128" i="14"/>
  <c r="M128" i="14"/>
  <c r="N128" i="14"/>
  <c r="H129" i="14"/>
  <c r="M129" i="14"/>
  <c r="N129" i="14"/>
  <c r="F130" i="14"/>
  <c r="G130" i="14"/>
  <c r="H130" i="14"/>
  <c r="L130" i="14"/>
  <c r="M130" i="14"/>
  <c r="N130" i="14"/>
  <c r="H131" i="14"/>
  <c r="M131" i="14"/>
  <c r="N131" i="14"/>
  <c r="H132" i="14"/>
  <c r="L132" i="14"/>
  <c r="M132" i="14"/>
  <c r="N132" i="14"/>
  <c r="H133" i="14"/>
  <c r="L133" i="14"/>
  <c r="M133" i="14"/>
  <c r="N133" i="14"/>
  <c r="H134" i="14"/>
  <c r="L134" i="14"/>
  <c r="M134" i="14"/>
  <c r="N134" i="14"/>
  <c r="F135" i="14"/>
  <c r="G135" i="14"/>
  <c r="H135" i="14"/>
  <c r="L135" i="14"/>
  <c r="M135" i="14"/>
  <c r="N135" i="14"/>
  <c r="F136" i="14"/>
  <c r="G136" i="14"/>
  <c r="H136" i="14"/>
  <c r="M136" i="14"/>
  <c r="N136" i="14"/>
  <c r="H137" i="14"/>
  <c r="M137" i="14"/>
  <c r="N137" i="14"/>
  <c r="H138" i="14"/>
  <c r="M138" i="14"/>
  <c r="N138" i="14"/>
  <c r="F139" i="14"/>
  <c r="G139" i="14"/>
  <c r="H139" i="14"/>
  <c r="L139" i="14"/>
  <c r="M139" i="14"/>
  <c r="N139" i="14"/>
  <c r="F140" i="14"/>
  <c r="G140" i="14"/>
  <c r="H140" i="14"/>
  <c r="L140" i="14"/>
  <c r="M140" i="14"/>
  <c r="N140" i="14"/>
  <c r="H143" i="14"/>
  <c r="L143" i="14"/>
  <c r="M143" i="14"/>
  <c r="N143" i="14"/>
  <c r="H146" i="14"/>
  <c r="M146" i="14"/>
  <c r="N146" i="14"/>
  <c r="F147" i="14"/>
  <c r="G147" i="14"/>
  <c r="H147" i="14"/>
  <c r="L147" i="14"/>
  <c r="M147" i="14"/>
  <c r="N147" i="14"/>
  <c r="F148" i="14"/>
  <c r="G148" i="14"/>
  <c r="H148" i="14"/>
  <c r="L148" i="14"/>
  <c r="M148" i="14"/>
  <c r="F149" i="14"/>
  <c r="G149" i="14"/>
  <c r="H149" i="14"/>
  <c r="L149" i="14"/>
  <c r="M149" i="14"/>
  <c r="C172" i="1"/>
  <c r="H152" i="14"/>
  <c r="M152" i="14"/>
  <c r="N152" i="14"/>
  <c r="H155" i="14"/>
  <c r="M155" i="14"/>
  <c r="N155" i="14"/>
  <c r="H156" i="14"/>
  <c r="M156" i="14"/>
  <c r="N156" i="14"/>
  <c r="H157" i="14"/>
  <c r="M157" i="14"/>
  <c r="N157" i="14"/>
  <c r="F158" i="14"/>
  <c r="G158" i="14"/>
  <c r="H158" i="14"/>
  <c r="L158" i="14"/>
  <c r="M158" i="14"/>
  <c r="N158" i="14"/>
  <c r="F159" i="14"/>
  <c r="G159" i="14"/>
  <c r="H159" i="14"/>
  <c r="L159" i="14"/>
  <c r="M159" i="14"/>
  <c r="N159" i="14"/>
  <c r="H162" i="14"/>
  <c r="M162" i="14"/>
  <c r="H163" i="14"/>
  <c r="M163" i="14"/>
  <c r="N163" i="14"/>
  <c r="H164" i="14"/>
  <c r="L164" i="14"/>
  <c r="M164" i="14"/>
  <c r="N164" i="14"/>
  <c r="H165" i="14"/>
  <c r="L165" i="14"/>
  <c r="M165" i="14"/>
  <c r="N165" i="14"/>
  <c r="H166" i="14"/>
  <c r="L166" i="14"/>
  <c r="M166" i="14"/>
  <c r="N166" i="14"/>
  <c r="H167" i="14"/>
  <c r="L167" i="14"/>
  <c r="M167" i="14"/>
  <c r="N167" i="14"/>
  <c r="H168" i="14"/>
  <c r="L168" i="14"/>
  <c r="M168" i="14"/>
  <c r="N168" i="14"/>
  <c r="H169" i="14"/>
  <c r="L169" i="14"/>
  <c r="M169" i="14"/>
  <c r="N169" i="14"/>
  <c r="H170" i="14"/>
  <c r="L170" i="14"/>
  <c r="M170" i="14"/>
  <c r="N170" i="14"/>
  <c r="F171" i="14"/>
  <c r="G171" i="14"/>
  <c r="H171" i="14"/>
  <c r="M171" i="14"/>
  <c r="N171" i="14"/>
  <c r="AH195" i="1"/>
  <c r="H172" i="14"/>
  <c r="AD195" i="1"/>
  <c r="M172" i="14"/>
  <c r="H173" i="14"/>
  <c r="M173" i="14"/>
  <c r="N173" i="14"/>
  <c r="H174" i="14"/>
  <c r="M174" i="14"/>
  <c r="N174" i="14"/>
  <c r="H175" i="14"/>
  <c r="M175" i="14"/>
  <c r="N175" i="14"/>
  <c r="H176" i="14"/>
  <c r="M176" i="14"/>
  <c r="N176" i="14"/>
  <c r="H177" i="14"/>
  <c r="L177" i="14"/>
  <c r="M177" i="14"/>
  <c r="N177" i="14"/>
  <c r="H178" i="14"/>
  <c r="L178" i="14"/>
  <c r="M178" i="14"/>
  <c r="N178" i="14"/>
  <c r="H179" i="14"/>
  <c r="L179" i="14"/>
  <c r="M179" i="14"/>
  <c r="N179" i="14"/>
  <c r="H180" i="14"/>
  <c r="L180" i="14"/>
  <c r="M180" i="14"/>
  <c r="N180" i="14"/>
  <c r="H181" i="14"/>
  <c r="L181" i="14"/>
  <c r="M181" i="14"/>
  <c r="N181" i="14"/>
  <c r="H182" i="14"/>
  <c r="L182" i="14"/>
  <c r="M182" i="14"/>
  <c r="N182" i="14"/>
  <c r="H183" i="14"/>
  <c r="L183" i="14"/>
  <c r="M183" i="14"/>
  <c r="N183" i="14"/>
  <c r="H184" i="14"/>
  <c r="L184" i="14"/>
  <c r="M184" i="14"/>
  <c r="N184" i="14"/>
  <c r="H185" i="14"/>
  <c r="L185" i="14"/>
  <c r="M185" i="14"/>
  <c r="N185" i="14"/>
  <c r="H186" i="14"/>
  <c r="L186" i="14"/>
  <c r="M186" i="14"/>
  <c r="N186" i="14"/>
  <c r="H187" i="14"/>
  <c r="L187" i="14"/>
  <c r="M187" i="14"/>
  <c r="N187" i="14"/>
  <c r="G191" i="14"/>
  <c r="H191" i="14"/>
  <c r="L191" i="14"/>
  <c r="M191" i="14"/>
  <c r="N191" i="14"/>
  <c r="F192" i="14"/>
  <c r="G192" i="14"/>
  <c r="H192" i="14"/>
  <c r="L192" i="14"/>
  <c r="M192" i="14"/>
  <c r="N192" i="14"/>
  <c r="G193" i="14"/>
  <c r="H193" i="14"/>
  <c r="L193" i="14"/>
  <c r="M193" i="14"/>
  <c r="N193" i="14"/>
  <c r="F194" i="14"/>
  <c r="G194" i="14"/>
  <c r="H194" i="14"/>
  <c r="L194" i="14"/>
  <c r="M194" i="14"/>
  <c r="N194" i="14"/>
  <c r="F195" i="14"/>
  <c r="G195" i="14"/>
  <c r="H195" i="14"/>
  <c r="L195" i="14"/>
  <c r="M195" i="14"/>
  <c r="N195" i="14"/>
  <c r="F196" i="14"/>
  <c r="G196" i="14"/>
  <c r="H196" i="14"/>
  <c r="L196" i="14"/>
  <c r="M196" i="14"/>
  <c r="N196" i="14"/>
  <c r="F197" i="14"/>
  <c r="G197" i="14"/>
  <c r="H197" i="14"/>
  <c r="L197" i="14"/>
  <c r="M197" i="14"/>
  <c r="N197" i="14"/>
  <c r="F198" i="14"/>
  <c r="G198" i="14"/>
  <c r="H198" i="14"/>
  <c r="L198" i="14"/>
  <c r="M198" i="14"/>
  <c r="N198" i="14"/>
  <c r="F199" i="14"/>
  <c r="G199" i="14"/>
  <c r="H199" i="14"/>
  <c r="L199" i="14"/>
  <c r="M199" i="14"/>
  <c r="N199" i="14"/>
  <c r="F200" i="14"/>
  <c r="G200" i="14"/>
  <c r="H200" i="14"/>
  <c r="L200" i="14"/>
  <c r="M200" i="14"/>
  <c r="N200" i="14"/>
  <c r="F201" i="14"/>
  <c r="G201" i="14"/>
  <c r="H201" i="14"/>
  <c r="L201" i="14"/>
  <c r="M201" i="14"/>
  <c r="N201" i="14"/>
  <c r="F202" i="14"/>
  <c r="G202" i="14"/>
  <c r="H202" i="14"/>
  <c r="L202" i="14"/>
  <c r="M202" i="14"/>
  <c r="N202" i="14"/>
  <c r="F203" i="14"/>
  <c r="G203" i="14"/>
  <c r="H203" i="14"/>
  <c r="L203" i="14"/>
  <c r="M203" i="14"/>
  <c r="N203" i="14"/>
  <c r="C243" i="14"/>
  <c r="D81" i="1"/>
  <c r="D84" i="1"/>
  <c r="D85" i="1"/>
  <c r="D88" i="1"/>
  <c r="C83" i="1"/>
  <c r="D80" i="1"/>
  <c r="C87" i="1"/>
  <c r="C79" i="1"/>
  <c r="B15" i="1"/>
  <c r="V16" i="1"/>
  <c r="W16" i="1"/>
  <c r="X16" i="1"/>
  <c r="Z16" i="1"/>
  <c r="AB16" i="1"/>
  <c r="AC16" i="1"/>
  <c r="AD16" i="1"/>
  <c r="AE16" i="1"/>
  <c r="D20" i="1"/>
  <c r="AK60" i="1"/>
  <c r="AK63" i="1"/>
  <c r="AK65" i="1"/>
  <c r="AK79" i="1"/>
  <c r="AK80" i="1"/>
  <c r="AK81" i="1"/>
  <c r="AK82" i="1"/>
  <c r="AK83" i="1"/>
  <c r="AK84" i="1"/>
  <c r="AK85" i="1"/>
  <c r="AK86" i="1"/>
  <c r="AK87" i="1"/>
  <c r="AK88" i="1"/>
  <c r="AK114" i="1"/>
  <c r="AK122" i="1"/>
  <c r="AK125" i="1"/>
  <c r="AK126" i="1"/>
  <c r="AK127" i="1"/>
  <c r="AK128" i="1"/>
  <c r="AK129" i="1"/>
  <c r="AK130" i="1"/>
  <c r="AK131" i="1"/>
  <c r="AK146" i="1"/>
  <c r="AK148" i="1"/>
  <c r="AK149" i="1"/>
  <c r="AK150" i="1"/>
  <c r="AK151" i="1"/>
  <c r="AK153" i="1"/>
  <c r="AK158" i="1"/>
  <c r="AK159" i="1"/>
  <c r="AK162" i="1"/>
  <c r="AK163" i="1"/>
  <c r="AK170" i="1"/>
  <c r="AK171" i="1"/>
  <c r="AK172" i="1"/>
  <c r="AK181" i="1"/>
  <c r="AK182" i="1"/>
  <c r="AK194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A28" i="1"/>
  <c r="AD28" i="1"/>
  <c r="AG28" i="1"/>
  <c r="AH28" i="1"/>
  <c r="AA29" i="1"/>
  <c r="AD29" i="1"/>
  <c r="AG29" i="1"/>
  <c r="AH29" i="1"/>
  <c r="AA36" i="1"/>
  <c r="AD36" i="1"/>
  <c r="AH36" i="1"/>
  <c r="AA39" i="1"/>
  <c r="AG39" i="1"/>
  <c r="AH39" i="1"/>
  <c r="AA40" i="1"/>
  <c r="AG40" i="1"/>
  <c r="AH40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AG60" i="1"/>
  <c r="AA61" i="1"/>
  <c r="AD61" i="1"/>
  <c r="AG61" i="1"/>
  <c r="AH61" i="1"/>
  <c r="AA62" i="1"/>
  <c r="AD62" i="1"/>
  <c r="AG62" i="1"/>
  <c r="AH62" i="1"/>
  <c r="AG63" i="1"/>
  <c r="AA64" i="1"/>
  <c r="AD64" i="1"/>
  <c r="AG64" i="1"/>
  <c r="AH64" i="1"/>
  <c r="AG65" i="1"/>
  <c r="W68" i="1"/>
  <c r="AG68" i="1" s="1"/>
  <c r="AA68" i="1"/>
  <c r="AD68" i="1"/>
  <c r="AH68" i="1"/>
  <c r="W69" i="1"/>
  <c r="AG69" i="1" s="1"/>
  <c r="AA69" i="1"/>
  <c r="AD69" i="1"/>
  <c r="AH69" i="1"/>
  <c r="W70" i="1"/>
  <c r="AG70" i="1" s="1"/>
  <c r="AA70" i="1"/>
  <c r="AD70" i="1"/>
  <c r="AH70" i="1"/>
  <c r="W71" i="1"/>
  <c r="AG71" i="1" s="1"/>
  <c r="AA71" i="1"/>
  <c r="AD71" i="1"/>
  <c r="AH71" i="1"/>
  <c r="W72" i="1"/>
  <c r="AG72" i="1" s="1"/>
  <c r="AA72" i="1"/>
  <c r="AD72" i="1"/>
  <c r="AH72" i="1"/>
  <c r="W73" i="1"/>
  <c r="AG73" i="1" s="1"/>
  <c r="AA73" i="1"/>
  <c r="AD73" i="1"/>
  <c r="AH73" i="1"/>
  <c r="W74" i="1"/>
  <c r="AG74" i="1" s="1"/>
  <c r="AA74" i="1"/>
  <c r="AD74" i="1"/>
  <c r="AH74" i="1"/>
  <c r="W75" i="1"/>
  <c r="AG75" i="1" s="1"/>
  <c r="AA75" i="1"/>
  <c r="AH75" i="1"/>
  <c r="W76" i="1"/>
  <c r="AG76" i="1" s="1"/>
  <c r="AA76" i="1"/>
  <c r="AH76" i="1"/>
  <c r="AA89" i="1"/>
  <c r="AD89" i="1"/>
  <c r="AH89" i="1"/>
  <c r="W93" i="1"/>
  <c r="AG93" i="1" s="1"/>
  <c r="AA93" i="1"/>
  <c r="AD93" i="1"/>
  <c r="AH93" i="1"/>
  <c r="W94" i="1"/>
  <c r="AG94" i="1" s="1"/>
  <c r="AA94" i="1"/>
  <c r="AD94" i="1"/>
  <c r="AH94" i="1"/>
  <c r="W95" i="1"/>
  <c r="AG95" i="1" s="1"/>
  <c r="AA95" i="1"/>
  <c r="AD95" i="1"/>
  <c r="AH95" i="1"/>
  <c r="W96" i="1"/>
  <c r="AG96" i="1" s="1"/>
  <c r="AA96" i="1"/>
  <c r="AD96" i="1"/>
  <c r="AH96" i="1"/>
  <c r="W97" i="1"/>
  <c r="AG97" i="1" s="1"/>
  <c r="AA97" i="1"/>
  <c r="AD97" i="1"/>
  <c r="AH97" i="1"/>
  <c r="W98" i="1"/>
  <c r="AG98" i="1" s="1"/>
  <c r="AA98" i="1"/>
  <c r="AD98" i="1"/>
  <c r="AH98" i="1"/>
  <c r="W99" i="1"/>
  <c r="AG99" i="1" s="1"/>
  <c r="AA99" i="1"/>
  <c r="AD99" i="1"/>
  <c r="AH99" i="1"/>
  <c r="W100" i="1"/>
  <c r="AG100" i="1" s="1"/>
  <c r="AA100" i="1"/>
  <c r="AD100" i="1"/>
  <c r="AH100" i="1"/>
  <c r="W101" i="1"/>
  <c r="AG101" i="1" s="1"/>
  <c r="AA101" i="1"/>
  <c r="AD101" i="1"/>
  <c r="AH101" i="1"/>
  <c r="W102" i="1"/>
  <c r="AG102" i="1" s="1"/>
  <c r="AA102" i="1"/>
  <c r="AD102" i="1"/>
  <c r="AH102" i="1"/>
  <c r="W103" i="1"/>
  <c r="AG103" i="1" s="1"/>
  <c r="AA103" i="1"/>
  <c r="AD103" i="1"/>
  <c r="AH103" i="1"/>
  <c r="W104" i="1"/>
  <c r="AG104" i="1" s="1"/>
  <c r="AA104" i="1"/>
  <c r="AD104" i="1"/>
  <c r="AH104" i="1"/>
  <c r="W105" i="1"/>
  <c r="AG105" i="1" s="1"/>
  <c r="AA105" i="1"/>
  <c r="AD105" i="1"/>
  <c r="AH105" i="1"/>
  <c r="W108" i="1"/>
  <c r="AG108" i="1" s="1"/>
  <c r="AA108" i="1"/>
  <c r="AH108" i="1"/>
  <c r="W109" i="1"/>
  <c r="AG109" i="1" s="1"/>
  <c r="AA109" i="1"/>
  <c r="AH109" i="1"/>
  <c r="W110" i="1"/>
  <c r="AG110" i="1" s="1"/>
  <c r="AA110" i="1"/>
  <c r="AH110" i="1"/>
  <c r="W111" i="1"/>
  <c r="AG111" i="1" s="1"/>
  <c r="AA111" i="1"/>
  <c r="AH111" i="1"/>
  <c r="W112" i="1"/>
  <c r="AG112" i="1" s="1"/>
  <c r="AA112" i="1"/>
  <c r="AH112" i="1"/>
  <c r="AA113" i="1"/>
  <c r="AH113" i="1"/>
  <c r="AD114" i="1"/>
  <c r="W117" i="1"/>
  <c r="AG117" i="1" s="1"/>
  <c r="AA117" i="1"/>
  <c r="AH117" i="1"/>
  <c r="W118" i="1"/>
  <c r="AG118" i="1" s="1"/>
  <c r="AA118" i="1"/>
  <c r="AH118" i="1"/>
  <c r="W119" i="1"/>
  <c r="AG119" i="1" s="1"/>
  <c r="AA119" i="1"/>
  <c r="AH119" i="1"/>
  <c r="AA120" i="1"/>
  <c r="AG120" i="1"/>
  <c r="AH120" i="1"/>
  <c r="AA121" i="1"/>
  <c r="AG121" i="1"/>
  <c r="AH121" i="1"/>
  <c r="AD122" i="1"/>
  <c r="AD132" i="1"/>
  <c r="AH132" i="1"/>
  <c r="AA135" i="1"/>
  <c r="AG135" i="1"/>
  <c r="AH135" i="1"/>
  <c r="AA136" i="1"/>
  <c r="AG136" i="1"/>
  <c r="AH136" i="1"/>
  <c r="AA137" i="1"/>
  <c r="AG137" i="1"/>
  <c r="AH137" i="1"/>
  <c r="AA138" i="1"/>
  <c r="AD138" i="1"/>
  <c r="AG138" i="1"/>
  <c r="AH138" i="1"/>
  <c r="N139" i="1"/>
  <c r="AD142" i="1"/>
  <c r="AH143" i="1"/>
  <c r="AH144" i="1"/>
  <c r="AD146" i="1"/>
  <c r="AD152" i="1"/>
  <c r="AH152" i="1"/>
  <c r="AD154" i="1"/>
  <c r="AD159" i="1"/>
  <c r="AD160" i="1"/>
  <c r="AD161" i="1"/>
  <c r="AG166" i="1"/>
  <c r="AH166" i="1"/>
  <c r="AD169" i="1"/>
  <c r="AG169" i="1"/>
  <c r="AH169" i="1"/>
  <c r="AG170" i="1"/>
  <c r="AD175" i="1"/>
  <c r="AG175" i="1"/>
  <c r="AH175" i="1"/>
  <c r="W178" i="1"/>
  <c r="AG178" i="1" s="1"/>
  <c r="AA178" i="1"/>
  <c r="AD178" i="1"/>
  <c r="AH178" i="1"/>
  <c r="W179" i="1"/>
  <c r="AG179" i="1" s="1"/>
  <c r="AA179" i="1"/>
  <c r="AD179" i="1"/>
  <c r="AH179" i="1"/>
  <c r="W180" i="1"/>
  <c r="AG180" i="1" s="1"/>
  <c r="AA180" i="1"/>
  <c r="AD180" i="1"/>
  <c r="AH180" i="1"/>
  <c r="W181" i="1"/>
  <c r="AG181" i="1" s="1"/>
  <c r="AA181" i="1"/>
  <c r="AH181" i="1"/>
  <c r="W182" i="1"/>
  <c r="AG182" i="1" s="1"/>
  <c r="AA182" i="1"/>
  <c r="AD185" i="1"/>
  <c r="AG185" i="1"/>
  <c r="AH185" i="1"/>
  <c r="AD186" i="1"/>
  <c r="AG186" i="1"/>
  <c r="AH186" i="1"/>
  <c r="AG187" i="1"/>
  <c r="AH187" i="1"/>
  <c r="AG188" i="1"/>
  <c r="AH188" i="1"/>
  <c r="AG189" i="1"/>
  <c r="AH189" i="1"/>
  <c r="AG190" i="1"/>
  <c r="AH190" i="1"/>
  <c r="AG191" i="1"/>
  <c r="AH191" i="1"/>
  <c r="AG192" i="1"/>
  <c r="AH192" i="1"/>
  <c r="AG193" i="1"/>
  <c r="AH193" i="1"/>
  <c r="AD194" i="1"/>
  <c r="AD196" i="1"/>
  <c r="AG196" i="1"/>
  <c r="AH196" i="1"/>
  <c r="AD197" i="1"/>
  <c r="AG197" i="1"/>
  <c r="AH197" i="1"/>
  <c r="AD198" i="1"/>
  <c r="AG198" i="1"/>
  <c r="AH198" i="1"/>
  <c r="AD199" i="1"/>
  <c r="AG199" i="1"/>
  <c r="AH199" i="1"/>
  <c r="AG200" i="1"/>
  <c r="AH200" i="1"/>
  <c r="AG201" i="1"/>
  <c r="AH201" i="1"/>
  <c r="AG202" i="1"/>
  <c r="AH202" i="1"/>
  <c r="AG203" i="1"/>
  <c r="AH203" i="1"/>
  <c r="AG204" i="1"/>
  <c r="AH204" i="1"/>
  <c r="AG205" i="1"/>
  <c r="AH205" i="1"/>
  <c r="AG206" i="1"/>
  <c r="AH206" i="1"/>
  <c r="AG207" i="1"/>
  <c r="AH207" i="1"/>
  <c r="AG208" i="1"/>
  <c r="AH208" i="1"/>
  <c r="AG209" i="1"/>
  <c r="AH209" i="1"/>
  <c r="AG210" i="1"/>
  <c r="AH210" i="1"/>
  <c r="F5" i="8"/>
  <c r="K110" i="8"/>
  <c r="L110" i="8" s="1"/>
  <c r="K118" i="8"/>
  <c r="L118" i="8" s="1"/>
  <c r="K151" i="8"/>
  <c r="K152" i="8"/>
  <c r="L152" i="8" s="1"/>
  <c r="P4" i="18" s="1"/>
  <c r="P13" i="18" s="1"/>
  <c r="P18" i="18" s="1"/>
  <c r="P19" i="18" s="1"/>
  <c r="L163" i="8"/>
  <c r="AQ4" i="18" s="1"/>
  <c r="AQ13" i="18" s="1"/>
  <c r="AQ18" i="18" s="1"/>
  <c r="AQ19" i="18" s="1"/>
  <c r="K173" i="8"/>
  <c r="L173" i="8" s="1"/>
  <c r="D215" i="1"/>
  <c r="D217" i="1"/>
  <c r="C218" i="1"/>
  <c r="D218" i="1"/>
  <c r="D219" i="1"/>
  <c r="C220" i="1"/>
  <c r="E220" i="1" s="1"/>
  <c r="D220" i="1"/>
  <c r="D221" i="1"/>
  <c r="C222" i="1"/>
  <c r="AI222" i="1" s="1"/>
  <c r="D222" i="1"/>
  <c r="D223" i="1"/>
  <c r="C224" i="1"/>
  <c r="AI224" i="1" s="1"/>
  <c r="D224" i="1"/>
  <c r="D225" i="1"/>
  <c r="C226" i="1"/>
  <c r="AI226" i="1" s="1"/>
  <c r="D226" i="1"/>
  <c r="D227" i="1"/>
  <c r="C228" i="1"/>
  <c r="E228" i="1" s="1"/>
  <c r="D228" i="1"/>
  <c r="D229" i="1"/>
  <c r="C230" i="1"/>
  <c r="AI230" i="1" s="1"/>
  <c r="D230" i="1"/>
  <c r="D231" i="1"/>
  <c r="C232" i="1"/>
  <c r="D232" i="1"/>
  <c r="D233" i="1"/>
  <c r="K220" i="8"/>
  <c r="L220" i="8" s="1"/>
  <c r="K216" i="8"/>
  <c r="L216" i="8" s="1"/>
  <c r="K28" i="8"/>
  <c r="L28" i="8" s="1"/>
  <c r="K211" i="8"/>
  <c r="L211" i="8" s="1"/>
  <c r="K208" i="8"/>
  <c r="K205" i="8"/>
  <c r="L205" i="8" s="1"/>
  <c r="K203" i="8"/>
  <c r="L203" i="8" s="1"/>
  <c r="K199" i="8"/>
  <c r="L199" i="8" s="1"/>
  <c r="K201" i="8"/>
  <c r="L201" i="8" s="1"/>
  <c r="K148" i="8"/>
  <c r="L148" i="8" s="1"/>
  <c r="L4" i="18" s="1"/>
  <c r="L13" i="18" s="1"/>
  <c r="L18" i="18" s="1"/>
  <c r="L19" i="18" s="1"/>
  <c r="K197" i="8"/>
  <c r="L197" i="8" s="1"/>
  <c r="AI232" i="1"/>
  <c r="AI228" i="1"/>
  <c r="N210" i="1"/>
  <c r="I187" i="14" s="1"/>
  <c r="N206" i="1"/>
  <c r="I183" i="14" s="1"/>
  <c r="N202" i="1"/>
  <c r="I179" i="14" s="1"/>
  <c r="K218" i="8"/>
  <c r="L218" i="8" s="1"/>
  <c r="K222" i="8"/>
  <c r="K226" i="8"/>
  <c r="N198" i="1"/>
  <c r="I175" i="14" s="1"/>
  <c r="F204" i="1"/>
  <c r="F200" i="1"/>
  <c r="K204" i="1"/>
  <c r="F181" i="14" s="1"/>
  <c r="L198" i="1"/>
  <c r="G175" i="14" s="1"/>
  <c r="L206" i="1"/>
  <c r="G183" i="14" s="1"/>
  <c r="P198" i="1"/>
  <c r="K175" i="14" s="1"/>
  <c r="T109" i="1"/>
  <c r="T151" i="1"/>
  <c r="K224" i="8"/>
  <c r="K228" i="8"/>
  <c r="L228" i="8" s="1"/>
  <c r="E198" i="1"/>
  <c r="E200" i="1"/>
  <c r="E204" i="1"/>
  <c r="E206" i="1"/>
  <c r="E208" i="1"/>
  <c r="E210" i="1"/>
  <c r="T33" i="1"/>
  <c r="T196" i="1"/>
  <c r="T200" i="1"/>
  <c r="T202" i="1"/>
  <c r="T204" i="1"/>
  <c r="T210" i="1"/>
  <c r="K214" i="8"/>
  <c r="L214" i="8" s="1"/>
  <c r="AI225" i="1"/>
  <c r="B14" i="1"/>
  <c r="AI218" i="1"/>
  <c r="AI214" i="1"/>
  <c r="AI213" i="1" s="1"/>
  <c r="E232" i="1"/>
  <c r="K207" i="8"/>
  <c r="L207" i="8"/>
  <c r="K209" i="8"/>
  <c r="L209" i="8"/>
  <c r="L226" i="8"/>
  <c r="L224" i="8"/>
  <c r="L222" i="8"/>
  <c r="K215" i="8"/>
  <c r="L215" i="8"/>
  <c r="K217" i="8"/>
  <c r="L217" i="8" s="1"/>
  <c r="K221" i="8"/>
  <c r="L221" i="8" s="1"/>
  <c r="K225" i="8"/>
  <c r="L225" i="8"/>
  <c r="K231" i="8"/>
  <c r="E222" i="1"/>
  <c r="E217" i="1"/>
  <c r="K233" i="8"/>
  <c r="E226" i="1"/>
  <c r="E225" i="1"/>
  <c r="K230" i="8"/>
  <c r="L230" i="8"/>
  <c r="K232" i="8"/>
  <c r="L232" i="8"/>
  <c r="K48" i="8"/>
  <c r="L48" i="8" s="1"/>
  <c r="D216" i="1"/>
  <c r="E230" i="1"/>
  <c r="E221" i="1"/>
  <c r="E218" i="1"/>
  <c r="I37" i="14"/>
  <c r="J18" i="13"/>
  <c r="F196" i="1"/>
  <c r="E196" i="1"/>
  <c r="G196" i="1"/>
  <c r="L196" i="1"/>
  <c r="G173" i="14" s="1"/>
  <c r="P196" i="1"/>
  <c r="K173" i="14" s="1"/>
  <c r="Q196" i="1"/>
  <c r="L173" i="14" s="1"/>
  <c r="K196" i="1"/>
  <c r="F173" i="14" s="1"/>
  <c r="G122" i="1"/>
  <c r="N122" i="1"/>
  <c r="I99" i="14" s="1"/>
  <c r="E109" i="1"/>
  <c r="G147" i="1"/>
  <c r="Q122" i="1"/>
  <c r="L99" i="14" s="1"/>
  <c r="K109" i="1"/>
  <c r="F86" i="14" s="1"/>
  <c r="O147" i="1"/>
  <c r="J124" i="14" s="1"/>
  <c r="H7" i="14"/>
  <c r="K7" i="14"/>
  <c r="J7" i="14"/>
  <c r="I7" i="14"/>
  <c r="M7" i="14"/>
  <c r="K30" i="8"/>
  <c r="L30" i="8" s="1"/>
  <c r="K3" i="17" s="1"/>
  <c r="L119" i="1"/>
  <c r="G96" i="14" s="1"/>
  <c r="K119" i="1"/>
  <c r="AK119" i="1" s="1"/>
  <c r="C63" i="1" l="1"/>
  <c r="T63" i="1" s="1"/>
  <c r="T24" i="1"/>
  <c r="C45" i="1"/>
  <c r="G45" i="1" s="1"/>
  <c r="M45" i="1" s="1"/>
  <c r="R45" i="1" s="1"/>
  <c r="G39" i="1"/>
  <c r="F19" i="2"/>
  <c r="K19" i="8"/>
  <c r="L19" i="8" s="1"/>
  <c r="K26" i="8"/>
  <c r="L26" i="8" s="1"/>
  <c r="K40" i="8"/>
  <c r="L40" i="8" s="1"/>
  <c r="L109" i="1"/>
  <c r="G86" i="14" s="1"/>
  <c r="F109" i="1"/>
  <c r="C60" i="1"/>
  <c r="E25" i="1"/>
  <c r="T47" i="1"/>
  <c r="K150" i="8"/>
  <c r="L150" i="8" s="1"/>
  <c r="N4" i="18" s="1"/>
  <c r="N13" i="18" s="1"/>
  <c r="N18" i="18" s="1"/>
  <c r="N19" i="18" s="1"/>
  <c r="K159" i="8"/>
  <c r="L159" i="8" s="1"/>
  <c r="E4" i="18" s="1"/>
  <c r="J109" i="1"/>
  <c r="E86" i="14" s="1"/>
  <c r="T118" i="1"/>
  <c r="F162" i="1"/>
  <c r="N109" i="1"/>
  <c r="I86" i="14" s="1"/>
  <c r="G109" i="1"/>
  <c r="N149" i="1"/>
  <c r="I126" i="14" s="1"/>
  <c r="AI238" i="1"/>
  <c r="AI252" i="1" s="1"/>
  <c r="T56" i="1"/>
  <c r="G56" i="1"/>
  <c r="M56" i="1" s="1"/>
  <c r="R56" i="1" s="1"/>
  <c r="G146" i="1"/>
  <c r="O146" i="1"/>
  <c r="J123" i="14" s="1"/>
  <c r="C112" i="1"/>
  <c r="J112" i="1" s="1"/>
  <c r="E89" i="14" s="1"/>
  <c r="K113" i="8"/>
  <c r="L113" i="8" s="1"/>
  <c r="AR4" i="18" s="1"/>
  <c r="AR13" i="18" s="1"/>
  <c r="AR18" i="18" s="1"/>
  <c r="AR19" i="18" s="1"/>
  <c r="D121" i="1"/>
  <c r="K122" i="8"/>
  <c r="L122" i="8" s="1"/>
  <c r="AI4" i="18" s="1"/>
  <c r="AI13" i="18" s="1"/>
  <c r="AI18" i="18" s="1"/>
  <c r="AI19" i="18" s="1"/>
  <c r="E119" i="1"/>
  <c r="S146" i="1"/>
  <c r="N123" i="14" s="1"/>
  <c r="E146" i="1"/>
  <c r="K119" i="8"/>
  <c r="L119" i="8" s="1"/>
  <c r="K46" i="8"/>
  <c r="L46" i="8" s="1"/>
  <c r="L38" i="8"/>
  <c r="D51" i="1"/>
  <c r="G51" i="1" s="1"/>
  <c r="M51" i="1" s="1"/>
  <c r="H28" i="14" s="1"/>
  <c r="C49" i="1"/>
  <c r="T49" i="1" s="1"/>
  <c r="F119" i="1"/>
  <c r="F28" i="1"/>
  <c r="Q146" i="1"/>
  <c r="L123" i="14" s="1"/>
  <c r="G8" i="2"/>
  <c r="K50" i="8"/>
  <c r="L50" i="8" s="1"/>
  <c r="T28" i="1"/>
  <c r="G63" i="1"/>
  <c r="K17" i="8"/>
  <c r="L17" i="8" s="1"/>
  <c r="E191" i="1"/>
  <c r="I109" i="1"/>
  <c r="D86" i="14" s="1"/>
  <c r="N119" i="1"/>
  <c r="I96" i="14" s="1"/>
  <c r="G119" i="1"/>
  <c r="K120" i="8"/>
  <c r="L120" i="8" s="1"/>
  <c r="P146" i="1"/>
  <c r="K123" i="14" s="1"/>
  <c r="K147" i="8"/>
  <c r="L147" i="8" s="1"/>
  <c r="K111" i="8"/>
  <c r="L111" i="8" s="1"/>
  <c r="K21" i="8"/>
  <c r="L21" i="8" s="1"/>
  <c r="N3" i="17" s="1"/>
  <c r="I208" i="1"/>
  <c r="D185" i="14" s="1"/>
  <c r="L208" i="1"/>
  <c r="G185" i="14" s="1"/>
  <c r="N208" i="1"/>
  <c r="I185" i="14" s="1"/>
  <c r="K208" i="1"/>
  <c r="AK208" i="1" s="1"/>
  <c r="H208" i="1"/>
  <c r="C185" i="14" s="1"/>
  <c r="C205" i="1"/>
  <c r="K206" i="8"/>
  <c r="L206" i="8"/>
  <c r="J202" i="1"/>
  <c r="E179" i="14" s="1"/>
  <c r="F202" i="1"/>
  <c r="L202" i="1"/>
  <c r="G179" i="14" s="1"/>
  <c r="I202" i="1"/>
  <c r="D179" i="14" s="1"/>
  <c r="K202" i="1"/>
  <c r="AK202" i="1" s="1"/>
  <c r="G202" i="1"/>
  <c r="D199" i="1"/>
  <c r="K200" i="8"/>
  <c r="L200" i="8" s="1"/>
  <c r="D74" i="1"/>
  <c r="K75" i="8"/>
  <c r="L75" i="8" s="1"/>
  <c r="T33" i="15" s="1"/>
  <c r="D72" i="1"/>
  <c r="I72" i="1" s="1"/>
  <c r="D49" i="14" s="1"/>
  <c r="K73" i="8"/>
  <c r="L73" i="8" s="1"/>
  <c r="T32" i="15" s="1"/>
  <c r="C64" i="1"/>
  <c r="L64" i="1" s="1"/>
  <c r="G41" i="14" s="1"/>
  <c r="K65" i="8"/>
  <c r="L65" i="8" s="1"/>
  <c r="E215" i="1"/>
  <c r="E224" i="1"/>
  <c r="AI220" i="1"/>
  <c r="F208" i="1"/>
  <c r="K77" i="8"/>
  <c r="L77" i="8" s="1"/>
  <c r="C219" i="1"/>
  <c r="K219" i="8"/>
  <c r="L219" i="8" s="1"/>
  <c r="C223" i="1"/>
  <c r="K223" i="8"/>
  <c r="L223" i="8" s="1"/>
  <c r="C227" i="1"/>
  <c r="K227" i="8"/>
  <c r="L227" i="8" s="1"/>
  <c r="C229" i="1"/>
  <c r="K229" i="8"/>
  <c r="L229" i="8" s="1"/>
  <c r="C231" i="1"/>
  <c r="L231" i="8"/>
  <c r="C233" i="1"/>
  <c r="L233" i="8"/>
  <c r="J208" i="1"/>
  <c r="E185" i="14" s="1"/>
  <c r="C209" i="1"/>
  <c r="K210" i="8"/>
  <c r="L210" i="8"/>
  <c r="K206" i="1"/>
  <c r="F183" i="14" s="1"/>
  <c r="J206" i="1"/>
  <c r="E183" i="14" s="1"/>
  <c r="F206" i="1"/>
  <c r="I206" i="1"/>
  <c r="D183" i="14" s="1"/>
  <c r="G206" i="1"/>
  <c r="T206" i="1"/>
  <c r="D203" i="1"/>
  <c r="K204" i="8"/>
  <c r="L204" i="8" s="1"/>
  <c r="H199" i="1"/>
  <c r="C176" i="14" s="1"/>
  <c r="I196" i="1"/>
  <c r="D173" i="14" s="1"/>
  <c r="H196" i="1"/>
  <c r="C173" i="14" s="1"/>
  <c r="N196" i="1"/>
  <c r="I173" i="14" s="1"/>
  <c r="D179" i="1"/>
  <c r="H179" i="1" s="1"/>
  <c r="C156" i="14" s="1"/>
  <c r="K180" i="8"/>
  <c r="L180" i="8" s="1"/>
  <c r="D175" i="1"/>
  <c r="K176" i="8"/>
  <c r="L176" i="8" s="1"/>
  <c r="D170" i="1"/>
  <c r="H170" i="1" s="1"/>
  <c r="C147" i="14" s="1"/>
  <c r="K171" i="8"/>
  <c r="L171" i="8" s="1"/>
  <c r="D166" i="1"/>
  <c r="K167" i="8"/>
  <c r="L167" i="8" s="1"/>
  <c r="F13" i="13"/>
  <c r="AI215" i="1"/>
  <c r="AI216" i="1" s="1"/>
  <c r="T208" i="1"/>
  <c r="G208" i="1"/>
  <c r="E202" i="1"/>
  <c r="H210" i="1"/>
  <c r="C187" i="14" s="1"/>
  <c r="J210" i="1"/>
  <c r="E187" i="14" s="1"/>
  <c r="F210" i="1"/>
  <c r="L210" i="1"/>
  <c r="G187" i="14" s="1"/>
  <c r="I210" i="1"/>
  <c r="D187" i="14" s="1"/>
  <c r="K210" i="1"/>
  <c r="AK210" i="1" s="1"/>
  <c r="G210" i="1"/>
  <c r="D207" i="1"/>
  <c r="L208" i="8"/>
  <c r="H203" i="1"/>
  <c r="C180" i="14" s="1"/>
  <c r="H202" i="1"/>
  <c r="C179" i="14" s="1"/>
  <c r="I200" i="1"/>
  <c r="D177" i="14" s="1"/>
  <c r="L200" i="1"/>
  <c r="G177" i="14" s="1"/>
  <c r="G200" i="1"/>
  <c r="N200" i="1"/>
  <c r="I177" i="14" s="1"/>
  <c r="K200" i="1"/>
  <c r="AK200" i="1" s="1"/>
  <c r="H200" i="1"/>
  <c r="C177" i="14" s="1"/>
  <c r="C197" i="1"/>
  <c r="K198" i="8"/>
  <c r="L198" i="8"/>
  <c r="E172" i="1"/>
  <c r="F172" i="1"/>
  <c r="G47" i="1"/>
  <c r="M47" i="1" s="1"/>
  <c r="R47" i="1" s="1"/>
  <c r="E214" i="1"/>
  <c r="J214" i="1" s="1"/>
  <c r="E191" i="14" s="1"/>
  <c r="E216" i="1"/>
  <c r="H216" i="1"/>
  <c r="C193" i="14" s="1"/>
  <c r="C216" i="1"/>
  <c r="H207" i="1"/>
  <c r="C184" i="14" s="1"/>
  <c r="H206" i="1"/>
  <c r="C183" i="14" s="1"/>
  <c r="I204" i="1"/>
  <c r="D181" i="14" s="1"/>
  <c r="G204" i="1"/>
  <c r="N204" i="1"/>
  <c r="I181" i="14" s="1"/>
  <c r="H204" i="1"/>
  <c r="C181" i="14" s="1"/>
  <c r="L204" i="1"/>
  <c r="G181" i="14" s="1"/>
  <c r="C201" i="1"/>
  <c r="K202" i="8"/>
  <c r="L202" i="8" s="1"/>
  <c r="K198" i="1"/>
  <c r="F175" i="14" s="1"/>
  <c r="Q198" i="1"/>
  <c r="L175" i="14" s="1"/>
  <c r="J198" i="1"/>
  <c r="E175" i="14" s="1"/>
  <c r="I198" i="1"/>
  <c r="D175" i="14" s="1"/>
  <c r="F198" i="1"/>
  <c r="G198" i="1"/>
  <c r="T198" i="1"/>
  <c r="D137" i="1"/>
  <c r="J137" i="1" s="1"/>
  <c r="E114" i="14" s="1"/>
  <c r="K138" i="8"/>
  <c r="L138" i="8" s="1"/>
  <c r="D163" i="1"/>
  <c r="K164" i="8"/>
  <c r="L164" i="8" s="1"/>
  <c r="J121" i="1"/>
  <c r="E98" i="14" s="1"/>
  <c r="K15" i="8"/>
  <c r="L15" i="8" s="1"/>
  <c r="C240" i="14" s="1"/>
  <c r="G240" i="14" s="1"/>
  <c r="AI24" i="1"/>
  <c r="AI246" i="1" s="1"/>
  <c r="I110" i="1"/>
  <c r="D87" i="14" s="1"/>
  <c r="J17" i="13"/>
  <c r="C23" i="1" s="1"/>
  <c r="F2" i="2" s="1"/>
  <c r="D189" i="1"/>
  <c r="F189" i="1" s="1"/>
  <c r="K190" i="8"/>
  <c r="L190" i="8" s="1"/>
  <c r="C136" i="1"/>
  <c r="F136" i="1" s="1"/>
  <c r="K137" i="8"/>
  <c r="L137" i="8" s="1"/>
  <c r="E149" i="1"/>
  <c r="F149" i="1"/>
  <c r="G149" i="1"/>
  <c r="O149" i="1"/>
  <c r="J126" i="14" s="1"/>
  <c r="F122" i="1"/>
  <c r="P122" i="1"/>
  <c r="K99" i="14" s="1"/>
  <c r="T122" i="1"/>
  <c r="E122" i="1"/>
  <c r="G60" i="1"/>
  <c r="T60" i="1"/>
  <c r="J191" i="1"/>
  <c r="E168" i="14" s="1"/>
  <c r="G191" i="1"/>
  <c r="L191" i="1"/>
  <c r="G168" i="14" s="1"/>
  <c r="T191" i="1"/>
  <c r="L189" i="1"/>
  <c r="G166" i="14" s="1"/>
  <c r="K189" i="1"/>
  <c r="F166" i="14" s="1"/>
  <c r="K187" i="1"/>
  <c r="F164" i="14" s="1"/>
  <c r="G187" i="1"/>
  <c r="T187" i="1"/>
  <c r="E187" i="1"/>
  <c r="D182" i="1"/>
  <c r="K183" i="8"/>
  <c r="L183" i="8" s="1"/>
  <c r="D178" i="1"/>
  <c r="K179" i="8"/>
  <c r="L179" i="8" s="1"/>
  <c r="D169" i="1"/>
  <c r="K170" i="8"/>
  <c r="L170" i="8" s="1"/>
  <c r="C120" i="1"/>
  <c r="H120" i="1" s="1"/>
  <c r="C97" i="14" s="1"/>
  <c r="K121" i="8"/>
  <c r="L121" i="8" s="1"/>
  <c r="N162" i="1"/>
  <c r="I139" i="14" s="1"/>
  <c r="G162" i="1"/>
  <c r="O162" i="1"/>
  <c r="J139" i="14" s="1"/>
  <c r="E162" i="1"/>
  <c r="H162" i="1"/>
  <c r="C139" i="14" s="1"/>
  <c r="T162" i="1"/>
  <c r="K192" i="8"/>
  <c r="L192" i="8" s="1"/>
  <c r="D185" i="1"/>
  <c r="K186" i="8"/>
  <c r="L186" i="8" s="1"/>
  <c r="T56" i="15" s="1"/>
  <c r="D192" i="1"/>
  <c r="I192" i="1" s="1"/>
  <c r="D169" i="14" s="1"/>
  <c r="K193" i="8"/>
  <c r="L193" i="8" s="1"/>
  <c r="D190" i="1"/>
  <c r="K190" i="1" s="1"/>
  <c r="AK190" i="1" s="1"/>
  <c r="K191" i="8"/>
  <c r="L191" i="8" s="1"/>
  <c r="D188" i="1"/>
  <c r="F188" i="1" s="1"/>
  <c r="K189" i="8"/>
  <c r="L189" i="8" s="1"/>
  <c r="D186" i="1"/>
  <c r="H186" i="1" s="1"/>
  <c r="C163" i="14" s="1"/>
  <c r="K187" i="8"/>
  <c r="L187" i="8" s="1"/>
  <c r="C138" i="1"/>
  <c r="T138" i="1" s="1"/>
  <c r="K139" i="8"/>
  <c r="L139" i="8" s="1"/>
  <c r="C160" i="1"/>
  <c r="E160" i="1" s="1"/>
  <c r="K161" i="8"/>
  <c r="L161" i="8" s="1"/>
  <c r="Q4" i="18" s="1"/>
  <c r="Q13" i="18" s="1"/>
  <c r="Q18" i="18" s="1"/>
  <c r="Q19" i="18" s="1"/>
  <c r="K188" i="8"/>
  <c r="L188" i="8" s="1"/>
  <c r="G192" i="1"/>
  <c r="N186" i="1"/>
  <c r="I163" i="14" s="1"/>
  <c r="C135" i="1"/>
  <c r="J135" i="1" s="1"/>
  <c r="E112" i="14" s="1"/>
  <c r="K136" i="8"/>
  <c r="L136" i="8" s="1"/>
  <c r="K117" i="1"/>
  <c r="AK117" i="1" s="1"/>
  <c r="F117" i="1"/>
  <c r="F110" i="1"/>
  <c r="E110" i="1"/>
  <c r="K110" i="1"/>
  <c r="AK110" i="1" s="1"/>
  <c r="G110" i="1"/>
  <c r="L110" i="1"/>
  <c r="G87" i="14" s="1"/>
  <c r="J110" i="1"/>
  <c r="E87" i="14" s="1"/>
  <c r="T110" i="1"/>
  <c r="N110" i="1"/>
  <c r="I87" i="14" s="1"/>
  <c r="C75" i="1"/>
  <c r="K76" i="8"/>
  <c r="L76" i="8" s="1"/>
  <c r="C73" i="1"/>
  <c r="K74" i="8"/>
  <c r="L74" i="8" s="1"/>
  <c r="T31" i="15" s="1"/>
  <c r="C71" i="1"/>
  <c r="T71" i="1" s="1"/>
  <c r="K72" i="8"/>
  <c r="L72" i="8" s="1"/>
  <c r="T30" i="15" s="1"/>
  <c r="C69" i="1"/>
  <c r="T69" i="1" s="1"/>
  <c r="K70" i="8"/>
  <c r="L70" i="8" s="1"/>
  <c r="T28" i="15" s="1"/>
  <c r="J64" i="1"/>
  <c r="E41" i="14" s="1"/>
  <c r="T64" i="1"/>
  <c r="K64" i="1"/>
  <c r="AK64" i="1" s="1"/>
  <c r="AB147" i="1"/>
  <c r="T147" i="1"/>
  <c r="F147" i="1"/>
  <c r="K147" i="1"/>
  <c r="AK147" i="1" s="1"/>
  <c r="L147" i="1"/>
  <c r="G124" i="14" s="1"/>
  <c r="E147" i="1"/>
  <c r="N147" i="1"/>
  <c r="I124" i="14" s="1"/>
  <c r="E151" i="1"/>
  <c r="G151" i="1"/>
  <c r="F151" i="1"/>
  <c r="N151" i="1"/>
  <c r="I128" i="14" s="1"/>
  <c r="K16" i="8"/>
  <c r="L16" i="8" s="1"/>
  <c r="I169" i="1"/>
  <c r="D146" i="14" s="1"/>
  <c r="K160" i="8"/>
  <c r="L160" i="8" s="1"/>
  <c r="AI92" i="1"/>
  <c r="AI116" i="1"/>
  <c r="AI134" i="1"/>
  <c r="AI177" i="1"/>
  <c r="T80" i="1"/>
  <c r="K86" i="8"/>
  <c r="L86" i="8" s="1"/>
  <c r="AA4" i="18" s="1"/>
  <c r="AA5" i="18" s="1"/>
  <c r="K23" i="8"/>
  <c r="L23" i="8" s="1"/>
  <c r="O3" i="17" s="1"/>
  <c r="T31" i="1"/>
  <c r="K156" i="8"/>
  <c r="L156" i="8" s="1"/>
  <c r="C4" i="18" s="1"/>
  <c r="D159" i="1"/>
  <c r="C159" i="1"/>
  <c r="T155" i="1"/>
  <c r="T158" i="1"/>
  <c r="T157" i="1"/>
  <c r="K158" i="8"/>
  <c r="L158" i="8" s="1"/>
  <c r="T54" i="15" s="1"/>
  <c r="K157" i="8"/>
  <c r="L157" i="8" s="1"/>
  <c r="D4" i="18" s="1"/>
  <c r="AI141" i="1"/>
  <c r="U7" i="17"/>
  <c r="AI250" i="1"/>
  <c r="C250" i="1"/>
  <c r="H25" i="13"/>
  <c r="B5" i="1" s="1"/>
  <c r="C251" i="1"/>
  <c r="H210" i="14"/>
  <c r="H27" i="13"/>
  <c r="C246" i="14" s="1"/>
  <c r="AI251" i="1"/>
  <c r="AI245" i="1" s="1"/>
  <c r="F214" i="1"/>
  <c r="B64" i="15"/>
  <c r="H64" i="15" s="1"/>
  <c r="H24" i="13"/>
  <c r="K130" i="8"/>
  <c r="L130" i="8" s="1"/>
  <c r="AN4" i="18" s="1"/>
  <c r="T130" i="1"/>
  <c r="T129" i="1"/>
  <c r="K133" i="8"/>
  <c r="L133" i="8" s="1"/>
  <c r="T52" i="15" s="1"/>
  <c r="G40" i="1"/>
  <c r="E40" i="1"/>
  <c r="K33" i="8"/>
  <c r="L33" i="8" s="1"/>
  <c r="P3" i="17" s="1"/>
  <c r="P25" i="17" s="1"/>
  <c r="P29" i="17" s="1"/>
  <c r="K40" i="1"/>
  <c r="AK40" i="1" s="1"/>
  <c r="K31" i="8"/>
  <c r="L31" i="8" s="1"/>
  <c r="T24" i="15" s="1"/>
  <c r="K29" i="8"/>
  <c r="L29" i="8" s="1"/>
  <c r="I3" i="17" s="1"/>
  <c r="T36" i="1"/>
  <c r="K27" i="8"/>
  <c r="L27" i="8" s="1"/>
  <c r="F3" i="17" s="1"/>
  <c r="K25" i="8"/>
  <c r="L25" i="8" s="1"/>
  <c r="E3" i="17" s="1"/>
  <c r="K131" i="8"/>
  <c r="L131" i="8" s="1"/>
  <c r="AO4" i="18" s="1"/>
  <c r="K127" i="8"/>
  <c r="L127" i="8" s="1"/>
  <c r="AK4" i="18" s="1"/>
  <c r="J20" i="13"/>
  <c r="AK109" i="1"/>
  <c r="AK204" i="1"/>
  <c r="K71" i="8"/>
  <c r="L71" i="8" s="1"/>
  <c r="T29" i="15" s="1"/>
  <c r="AI67" i="1"/>
  <c r="AI77" i="1" s="1"/>
  <c r="K69" i="8"/>
  <c r="L69" i="8" s="1"/>
  <c r="T27" i="15" s="1"/>
  <c r="K229" i="14"/>
  <c r="J216" i="1"/>
  <c r="E193" i="14" s="1"/>
  <c r="F185" i="14"/>
  <c r="K81" i="8"/>
  <c r="L81" i="8" s="1"/>
  <c r="AE4" i="18" s="1"/>
  <c r="K85" i="8"/>
  <c r="L85" i="8" s="1"/>
  <c r="T37" i="15" s="1"/>
  <c r="K89" i="8"/>
  <c r="L89" i="8" s="1"/>
  <c r="AB4" i="18" s="1"/>
  <c r="AB5" i="18" s="1"/>
  <c r="F187" i="14"/>
  <c r="K8" i="2"/>
  <c r="C85" i="1"/>
  <c r="T85" i="1" s="1"/>
  <c r="T84" i="1"/>
  <c r="T81" i="1"/>
  <c r="K82" i="8"/>
  <c r="L82" i="8" s="1"/>
  <c r="Y4" i="18" s="1"/>
  <c r="Y5" i="18" s="1"/>
  <c r="K13" i="8"/>
  <c r="L13" i="8" s="1"/>
  <c r="G21" i="1" s="1"/>
  <c r="K22" i="8"/>
  <c r="L22" i="8" s="1"/>
  <c r="T15" i="15" s="1"/>
  <c r="K126" i="8"/>
  <c r="L126" i="8" s="1"/>
  <c r="AJ4" i="18" s="1"/>
  <c r="AI124" i="1"/>
  <c r="T125" i="1"/>
  <c r="AI78" i="1"/>
  <c r="AI90" i="1" s="1"/>
  <c r="J19" i="13"/>
  <c r="A14" i="13" s="1"/>
  <c r="K63" i="8"/>
  <c r="L63" i="8" s="1"/>
  <c r="G62" i="1" s="1"/>
  <c r="F14" i="2"/>
  <c r="T34" i="1"/>
  <c r="K24" i="8"/>
  <c r="L24" i="8" s="1"/>
  <c r="D3" i="17" s="1"/>
  <c r="K10" i="2"/>
  <c r="F96" i="14"/>
  <c r="AI59" i="1"/>
  <c r="AI66" i="1" s="1"/>
  <c r="AK196" i="1"/>
  <c r="K25" i="17"/>
  <c r="K29" i="17" s="1"/>
  <c r="K30" i="17" s="1"/>
  <c r="K34" i="17" s="1"/>
  <c r="K35" i="17" s="1"/>
  <c r="K38" i="17" s="1"/>
  <c r="K39" i="17" s="1"/>
  <c r="K118" i="1"/>
  <c r="F118" i="1"/>
  <c r="H22" i="14"/>
  <c r="E136" i="1"/>
  <c r="T30" i="1"/>
  <c r="T25" i="1"/>
  <c r="AI25" i="1"/>
  <c r="T146" i="1"/>
  <c r="F146" i="1"/>
  <c r="N235" i="8"/>
  <c r="N236" i="8" s="1"/>
  <c r="Q235" i="1" s="1"/>
  <c r="Q236" i="1" s="1"/>
  <c r="AI107" i="1"/>
  <c r="Q138" i="1"/>
  <c r="L115" i="14" s="1"/>
  <c r="E137" i="1"/>
  <c r="I136" i="1"/>
  <c r="D113" i="14" s="1"/>
  <c r="G136" i="1"/>
  <c r="N136" i="1"/>
  <c r="I113" i="14" s="1"/>
  <c r="T136" i="1"/>
  <c r="I117" i="1"/>
  <c r="D94" i="14" s="1"/>
  <c r="J117" i="1"/>
  <c r="E94" i="14" s="1"/>
  <c r="C131" i="1"/>
  <c r="T131" i="1" s="1"/>
  <c r="C127" i="1"/>
  <c r="T127" i="1" s="1"/>
  <c r="K128" i="8"/>
  <c r="L128" i="8" s="1"/>
  <c r="AL4" i="18" s="1"/>
  <c r="D128" i="1"/>
  <c r="T128" i="1" s="1"/>
  <c r="K129" i="8"/>
  <c r="L129" i="8" s="1"/>
  <c r="AM4" i="18" s="1"/>
  <c r="N118" i="1"/>
  <c r="I95" i="14" s="1"/>
  <c r="N117" i="1"/>
  <c r="I94" i="14" s="1"/>
  <c r="G118" i="1"/>
  <c r="G117" i="1"/>
  <c r="T117" i="1"/>
  <c r="T51" i="1"/>
  <c r="K14" i="8"/>
  <c r="L14" i="8" s="1"/>
  <c r="C238" i="14" s="1"/>
  <c r="T172" i="1"/>
  <c r="S172" i="1"/>
  <c r="N149" i="14" s="1"/>
  <c r="G172" i="1"/>
  <c r="J118" i="1"/>
  <c r="E95" i="14" s="1"/>
  <c r="L118" i="1"/>
  <c r="G95" i="14" s="1"/>
  <c r="L117" i="1"/>
  <c r="G94" i="14" s="1"/>
  <c r="E118" i="1"/>
  <c r="E117" i="1"/>
  <c r="R51" i="1"/>
  <c r="K136" i="1"/>
  <c r="K132" i="8"/>
  <c r="L132" i="8" s="1"/>
  <c r="AP4" i="18" s="1"/>
  <c r="T53" i="1"/>
  <c r="G53" i="1"/>
  <c r="M53" i="1" s="1"/>
  <c r="J136" i="1"/>
  <c r="E113" i="14" s="1"/>
  <c r="D193" i="1"/>
  <c r="K194" i="8"/>
  <c r="L194" i="8" s="1"/>
  <c r="H192" i="1"/>
  <c r="C169" i="14" s="1"/>
  <c r="J192" i="1"/>
  <c r="E169" i="14" s="1"/>
  <c r="I191" i="1"/>
  <c r="D168" i="14" s="1"/>
  <c r="K191" i="1"/>
  <c r="F191" i="1"/>
  <c r="H189" i="1"/>
  <c r="C166" i="14" s="1"/>
  <c r="I189" i="1"/>
  <c r="D166" i="14" s="1"/>
  <c r="J189" i="1"/>
  <c r="E166" i="14" s="1"/>
  <c r="G189" i="1"/>
  <c r="E189" i="1"/>
  <c r="T189" i="1"/>
  <c r="L188" i="1"/>
  <c r="G165" i="14" s="1"/>
  <c r="E188" i="1"/>
  <c r="H187" i="1"/>
  <c r="C164" i="14" s="1"/>
  <c r="I187" i="1"/>
  <c r="D164" i="14" s="1"/>
  <c r="F187" i="1"/>
  <c r="J187" i="1"/>
  <c r="E164" i="14" s="1"/>
  <c r="L187" i="1"/>
  <c r="G164" i="14" s="1"/>
  <c r="C61" i="1"/>
  <c r="K62" i="8"/>
  <c r="L62" i="8" s="1"/>
  <c r="T26" i="15" s="1"/>
  <c r="D41" i="1"/>
  <c r="K34" i="8"/>
  <c r="L34" i="8" s="1"/>
  <c r="D39" i="1"/>
  <c r="H39" i="1" s="1"/>
  <c r="C16" i="14" s="1"/>
  <c r="K32" i="8"/>
  <c r="L32" i="8" s="1"/>
  <c r="M3" i="17" s="1"/>
  <c r="M25" i="17" s="1"/>
  <c r="C150" i="1"/>
  <c r="L151" i="8"/>
  <c r="O4" i="18" s="1"/>
  <c r="O13" i="18" s="1"/>
  <c r="O18" i="18" s="1"/>
  <c r="O19" i="18" s="1"/>
  <c r="D154" i="1"/>
  <c r="O154" i="1" s="1"/>
  <c r="J131" i="14" s="1"/>
  <c r="K155" i="8"/>
  <c r="L155" i="8" s="1"/>
  <c r="H4" i="18" s="1"/>
  <c r="H13" i="18" s="1"/>
  <c r="H18" i="18" s="1"/>
  <c r="H19" i="18" s="1"/>
  <c r="AI27" i="1"/>
  <c r="AI43" i="1"/>
  <c r="AI58" i="1" s="1"/>
  <c r="AI184" i="1"/>
  <c r="I182" i="1"/>
  <c r="D159" i="14" s="1"/>
  <c r="H182" i="1"/>
  <c r="C159" i="14" s="1"/>
  <c r="H169" i="1"/>
  <c r="C146" i="14" s="1"/>
  <c r="C161" i="1"/>
  <c r="N161" i="1" s="1"/>
  <c r="I138" i="14" s="1"/>
  <c r="K162" i="8"/>
  <c r="L162" i="8" s="1"/>
  <c r="R4" i="18" s="1"/>
  <c r="R13" i="18" s="1"/>
  <c r="R18" i="18" s="1"/>
  <c r="R19" i="18" s="1"/>
  <c r="T88" i="1"/>
  <c r="T149" i="1"/>
  <c r="AI168" i="1"/>
  <c r="H112" i="1"/>
  <c r="C89" i="14" s="1"/>
  <c r="I112" i="1"/>
  <c r="D89" i="14" s="1"/>
  <c r="H136" i="1"/>
  <c r="C113" i="14" s="1"/>
  <c r="C113" i="1"/>
  <c r="K114" i="8"/>
  <c r="L114" i="8" s="1"/>
  <c r="K4" i="18" s="1"/>
  <c r="K13" i="18" s="1"/>
  <c r="K18" i="18" s="1"/>
  <c r="K19" i="18" s="1"/>
  <c r="AA125" i="1"/>
  <c r="I179" i="1"/>
  <c r="D156" i="14" s="1"/>
  <c r="AA147" i="1"/>
  <c r="AA151" i="1"/>
  <c r="I74" i="1"/>
  <c r="D51" i="14" s="1"/>
  <c r="J74" i="1"/>
  <c r="E51" i="14" s="1"/>
  <c r="L74" i="1"/>
  <c r="G51" i="14" s="1"/>
  <c r="Q74" i="1"/>
  <c r="L51" i="14" s="1"/>
  <c r="K74" i="1"/>
  <c r="P74" i="1"/>
  <c r="K51" i="14" s="1"/>
  <c r="F74" i="1"/>
  <c r="T74" i="1"/>
  <c r="E74" i="1"/>
  <c r="G74" i="1"/>
  <c r="S33" i="15" s="1"/>
  <c r="G18" i="2"/>
  <c r="K18" i="2" s="1"/>
  <c r="T38" i="1"/>
  <c r="T37" i="1"/>
  <c r="T13" i="15"/>
  <c r="L3" i="17"/>
  <c r="T20" i="15"/>
  <c r="T22" i="15"/>
  <c r="G3" i="17"/>
  <c r="C111" i="1"/>
  <c r="K112" i="8"/>
  <c r="L112" i="8" s="1"/>
  <c r="D108" i="1"/>
  <c r="K109" i="8"/>
  <c r="L109" i="8" s="1"/>
  <c r="T89" i="1"/>
  <c r="T72" i="1"/>
  <c r="P72" i="1"/>
  <c r="K49" i="14" s="1"/>
  <c r="G72" i="1"/>
  <c r="S32" i="15" s="1"/>
  <c r="T62" i="1"/>
  <c r="J40" i="1"/>
  <c r="E17" i="14" s="1"/>
  <c r="G20" i="2"/>
  <c r="I40" i="1"/>
  <c r="D17" i="14" s="1"/>
  <c r="T40" i="1"/>
  <c r="M40" i="1"/>
  <c r="H17" i="14" s="1"/>
  <c r="L40" i="1"/>
  <c r="G17" i="14" s="1"/>
  <c r="R40" i="1"/>
  <c r="M17" i="14" s="1"/>
  <c r="N40" i="1"/>
  <c r="I17" i="14" s="1"/>
  <c r="T29" i="1"/>
  <c r="G9" i="2"/>
  <c r="K9" i="2" s="1"/>
  <c r="G154" i="1"/>
  <c r="J154" i="1"/>
  <c r="E131" i="14" s="1"/>
  <c r="Q154" i="1"/>
  <c r="L131" i="14" s="1"/>
  <c r="AA156" i="1"/>
  <c r="V156" i="1"/>
  <c r="W156" i="1"/>
  <c r="O161" i="1"/>
  <c r="J138" i="14" s="1"/>
  <c r="T156" i="1"/>
  <c r="N74" i="1"/>
  <c r="I51" i="14" s="1"/>
  <c r="T68" i="1"/>
  <c r="M12" i="8"/>
  <c r="E20" i="1"/>
  <c r="K12" i="8"/>
  <c r="L12" i="8" s="1"/>
  <c r="C20" i="1"/>
  <c r="M11" i="8"/>
  <c r="K11" i="8"/>
  <c r="L11" i="8" s="1"/>
  <c r="D19" i="1"/>
  <c r="K18" i="8"/>
  <c r="L18" i="8" s="1"/>
  <c r="C46" i="1"/>
  <c r="K39" i="8"/>
  <c r="L39" i="8" s="1"/>
  <c r="C50" i="1"/>
  <c r="K43" i="8"/>
  <c r="L43" i="8" s="1"/>
  <c r="C54" i="1"/>
  <c r="K47" i="8"/>
  <c r="L47" i="8" s="1"/>
  <c r="C57" i="1"/>
  <c r="K51" i="8"/>
  <c r="L51" i="8" s="1"/>
  <c r="K56" i="8"/>
  <c r="L56" i="8"/>
  <c r="K37" i="8"/>
  <c r="L37" i="8" s="1"/>
  <c r="D44" i="1"/>
  <c r="D48" i="1"/>
  <c r="K41" i="8"/>
  <c r="L41" i="8" s="1"/>
  <c r="D52" i="1"/>
  <c r="K45" i="8"/>
  <c r="L45" i="8" s="1"/>
  <c r="D55" i="1"/>
  <c r="G55" i="1" s="1"/>
  <c r="M55" i="1" s="1"/>
  <c r="K49" i="8"/>
  <c r="L49" i="8" s="1"/>
  <c r="K54" i="8"/>
  <c r="L54" i="8" s="1"/>
  <c r="K58" i="8"/>
  <c r="L58" i="8" s="1"/>
  <c r="D79" i="1"/>
  <c r="K80" i="8"/>
  <c r="L80" i="8" s="1"/>
  <c r="D83" i="1"/>
  <c r="K84" i="8"/>
  <c r="L84" i="8" s="1"/>
  <c r="AD4" i="18" s="1"/>
  <c r="D87" i="1"/>
  <c r="K88" i="8"/>
  <c r="L88" i="8" s="1"/>
  <c r="AG4" i="18" s="1"/>
  <c r="K66" i="8"/>
  <c r="L66" i="8" s="1"/>
  <c r="C65" i="1"/>
  <c r="K83" i="8"/>
  <c r="L83" i="8" s="1"/>
  <c r="AF4" i="18" s="1"/>
  <c r="C82" i="1"/>
  <c r="C86" i="1"/>
  <c r="K87" i="8"/>
  <c r="L87" i="8" s="1"/>
  <c r="AC4" i="18" s="1"/>
  <c r="K115" i="8"/>
  <c r="L115" i="8" s="1"/>
  <c r="T51" i="15" s="1"/>
  <c r="D114" i="1"/>
  <c r="K172" i="8"/>
  <c r="L172" i="8" s="1"/>
  <c r="D171" i="1"/>
  <c r="F171" i="1" s="1"/>
  <c r="D194" i="1"/>
  <c r="K195" i="8"/>
  <c r="L195" i="8" s="1"/>
  <c r="C148" i="1"/>
  <c r="K149" i="8"/>
  <c r="L149" i="8" s="1"/>
  <c r="M4" i="18" s="1"/>
  <c r="M13" i="18" s="1"/>
  <c r="M18" i="18" s="1"/>
  <c r="M19" i="18" s="1"/>
  <c r="K154" i="8"/>
  <c r="L154" i="8" s="1"/>
  <c r="I4" i="18" s="1"/>
  <c r="I13" i="18" s="1"/>
  <c r="I18" i="18" s="1"/>
  <c r="I19" i="18" s="1"/>
  <c r="C153" i="1"/>
  <c r="AE5" i="18"/>
  <c r="I76" i="1"/>
  <c r="D53" i="14" s="1"/>
  <c r="F76" i="1"/>
  <c r="J76" i="1"/>
  <c r="E53" i="14" s="1"/>
  <c r="E76" i="1"/>
  <c r="G76" i="1"/>
  <c r="N76" i="1"/>
  <c r="I53" i="14" s="1"/>
  <c r="L76" i="1"/>
  <c r="G53" i="14" s="1"/>
  <c r="T76" i="1"/>
  <c r="K76" i="1"/>
  <c r="T70" i="1"/>
  <c r="F17" i="2"/>
  <c r="G12" i="2"/>
  <c r="T32" i="1"/>
  <c r="Q72" i="1"/>
  <c r="L49" i="14" s="1"/>
  <c r="E72" i="1"/>
  <c r="Z4" i="18"/>
  <c r="AI21" i="1"/>
  <c r="D181" i="1"/>
  <c r="K182" i="8"/>
  <c r="L182" i="8" s="1"/>
  <c r="K143" i="8"/>
  <c r="L143" i="8" s="1"/>
  <c r="J4" i="18" s="1"/>
  <c r="J13" i="18" s="1"/>
  <c r="J18" i="18" s="1"/>
  <c r="J19" i="18" s="1"/>
  <c r="C142" i="1"/>
  <c r="I193" i="1"/>
  <c r="D170" i="14" s="1"/>
  <c r="J193" i="1"/>
  <c r="E170" i="14" s="1"/>
  <c r="K193" i="1"/>
  <c r="C180" i="1"/>
  <c r="K181" i="8"/>
  <c r="L181" i="8" s="1"/>
  <c r="H178" i="1"/>
  <c r="C155" i="14" s="1"/>
  <c r="D144" i="1"/>
  <c r="E144" i="1" s="1"/>
  <c r="K145" i="8"/>
  <c r="L145" i="8" s="1"/>
  <c r="T4" i="18" s="1"/>
  <c r="T13" i="18" s="1"/>
  <c r="T18" i="18" s="1"/>
  <c r="T19" i="18" s="1"/>
  <c r="H119" i="1"/>
  <c r="C96" i="14" s="1"/>
  <c r="I119" i="1"/>
  <c r="D96" i="14" s="1"/>
  <c r="J119" i="1"/>
  <c r="E96" i="14" s="1"/>
  <c r="O25" i="17"/>
  <c r="O29" i="17" s="1"/>
  <c r="D26" i="1"/>
  <c r="J190" i="1"/>
  <c r="E167" i="14" s="1"/>
  <c r="I178" i="1"/>
  <c r="D155" i="14" s="1"/>
  <c r="J178" i="1"/>
  <c r="E155" i="14" s="1"/>
  <c r="F178" i="1"/>
  <c r="H166" i="1"/>
  <c r="C143" i="14" s="1"/>
  <c r="F166" i="1"/>
  <c r="I166" i="1"/>
  <c r="D143" i="14" s="1"/>
  <c r="J166" i="1"/>
  <c r="E143" i="14" s="1"/>
  <c r="K166" i="1"/>
  <c r="H191" i="1"/>
  <c r="C168" i="14" s="1"/>
  <c r="H175" i="1"/>
  <c r="C152" i="14" s="1"/>
  <c r="K153" i="8"/>
  <c r="L153" i="8" s="1"/>
  <c r="T53" i="15" s="1"/>
  <c r="C152" i="1"/>
  <c r="F152" i="1" s="1"/>
  <c r="K144" i="8"/>
  <c r="L144" i="8" s="1"/>
  <c r="U4" i="18" s="1"/>
  <c r="U13" i="18" s="1"/>
  <c r="U18" i="18" s="1"/>
  <c r="U19" i="18" s="1"/>
  <c r="C143" i="1"/>
  <c r="H118" i="1"/>
  <c r="C95" i="14" s="1"/>
  <c r="I118" i="1"/>
  <c r="D95" i="14" s="1"/>
  <c r="H117" i="1"/>
  <c r="C94" i="14" s="1"/>
  <c r="F113" i="1"/>
  <c r="I113" i="1"/>
  <c r="D90" i="14" s="1"/>
  <c r="H181" i="1"/>
  <c r="C158" i="14" s="1"/>
  <c r="I121" i="1"/>
  <c r="D98" i="14" s="1"/>
  <c r="H121" i="1"/>
  <c r="C98" i="14" s="1"/>
  <c r="H108" i="1"/>
  <c r="C85" i="14" s="1"/>
  <c r="K196" i="8"/>
  <c r="L196" i="8" s="1"/>
  <c r="T55" i="15" s="1"/>
  <c r="C195" i="1"/>
  <c r="H193" i="1"/>
  <c r="C170" i="14" s="1"/>
  <c r="K146" i="8"/>
  <c r="L146" i="8" s="1"/>
  <c r="S4" i="18" s="1"/>
  <c r="S13" i="18" s="1"/>
  <c r="S18" i="18" s="1"/>
  <c r="S19" i="18" s="1"/>
  <c r="C145" i="1"/>
  <c r="F145" i="1" s="1"/>
  <c r="I135" i="1"/>
  <c r="D112" i="14" s="1"/>
  <c r="H110" i="1"/>
  <c r="C87" i="14" s="1"/>
  <c r="G113" i="1"/>
  <c r="H75" i="1"/>
  <c r="C52" i="14" s="1"/>
  <c r="F21" i="2"/>
  <c r="K16" i="2"/>
  <c r="G14" i="2"/>
  <c r="F13" i="2"/>
  <c r="F163" i="1"/>
  <c r="AA150" i="1"/>
  <c r="AA162" i="1"/>
  <c r="V162" i="1"/>
  <c r="H76" i="1"/>
  <c r="C53" i="14" s="1"/>
  <c r="H74" i="1"/>
  <c r="C51" i="14" s="1"/>
  <c r="H72" i="1"/>
  <c r="C49" i="14" s="1"/>
  <c r="H40" i="1"/>
  <c r="C17" i="14" s="1"/>
  <c r="N163" i="1"/>
  <c r="I140" i="14" s="1"/>
  <c r="E163" i="1"/>
  <c r="G163" i="1"/>
  <c r="AB155" i="1"/>
  <c r="W155" i="1"/>
  <c r="AA155" i="1"/>
  <c r="V155" i="1"/>
  <c r="V157" i="1"/>
  <c r="AA157" i="1"/>
  <c r="H144" i="1"/>
  <c r="C121" i="14" s="1"/>
  <c r="H113" i="1"/>
  <c r="C90" i="14" s="1"/>
  <c r="F15" i="2"/>
  <c r="F11" i="2"/>
  <c r="AB157" i="1"/>
  <c r="D126" i="1"/>
  <c r="K90" i="8"/>
  <c r="L90" i="8" s="1"/>
  <c r="T34" i="15" s="1"/>
  <c r="H33" i="14" l="1"/>
  <c r="AK198" i="1"/>
  <c r="F179" i="14"/>
  <c r="C239" i="14"/>
  <c r="E239" i="14" s="1"/>
  <c r="N72" i="1"/>
  <c r="I49" i="14" s="1"/>
  <c r="K72" i="1"/>
  <c r="AK72" i="1" s="1"/>
  <c r="F72" i="1"/>
  <c r="J72" i="1"/>
  <c r="E49" i="14" s="1"/>
  <c r="T45" i="1"/>
  <c r="L72" i="1"/>
  <c r="G49" i="14" s="1"/>
  <c r="T14" i="15"/>
  <c r="H24" i="14"/>
  <c r="W160" i="1"/>
  <c r="H64" i="1"/>
  <c r="C41" i="14" s="1"/>
  <c r="H138" i="1"/>
  <c r="C115" i="14" s="1"/>
  <c r="AA160" i="1"/>
  <c r="L138" i="1"/>
  <c r="G115" i="14" s="1"/>
  <c r="P64" i="1"/>
  <c r="K41" i="14" s="1"/>
  <c r="I64" i="1"/>
  <c r="D41" i="14" s="1"/>
  <c r="Q64" i="1"/>
  <c r="L41" i="14" s="1"/>
  <c r="G49" i="1"/>
  <c r="M49" i="1" s="1"/>
  <c r="F177" i="14"/>
  <c r="G214" i="1"/>
  <c r="AK206" i="1"/>
  <c r="F216" i="1"/>
  <c r="G216" i="1" s="1"/>
  <c r="AK187" i="1"/>
  <c r="I22" i="1"/>
  <c r="K214" i="1"/>
  <c r="F191" i="14" s="1"/>
  <c r="N25" i="17"/>
  <c r="N29" i="17" s="1"/>
  <c r="N30" i="17" s="1"/>
  <c r="N34" i="17" s="1"/>
  <c r="N35" i="17" s="1"/>
  <c r="N38" i="17" s="1"/>
  <c r="N39" i="17" s="1"/>
  <c r="D22" i="1"/>
  <c r="G3" i="2" s="1"/>
  <c r="I3" i="2" s="1"/>
  <c r="T190" i="1"/>
  <c r="H190" i="1"/>
  <c r="C167" i="14" s="1"/>
  <c r="T161" i="1"/>
  <c r="P154" i="1"/>
  <c r="K131" i="14" s="1"/>
  <c r="F154" i="1"/>
  <c r="V154" i="1"/>
  <c r="I160" i="1"/>
  <c r="D137" i="14" s="1"/>
  <c r="F87" i="14"/>
  <c r="L137" i="1"/>
  <c r="G114" i="14" s="1"/>
  <c r="K137" i="1"/>
  <c r="F114" i="14" s="1"/>
  <c r="F94" i="14"/>
  <c r="D240" i="14"/>
  <c r="F41" i="14"/>
  <c r="T159" i="1"/>
  <c r="P186" i="1"/>
  <c r="K163" i="14" s="1"/>
  <c r="T121" i="1"/>
  <c r="N121" i="1"/>
  <c r="I98" i="14" s="1"/>
  <c r="L121" i="1"/>
  <c r="G98" i="14" s="1"/>
  <c r="F121" i="1"/>
  <c r="E121" i="1"/>
  <c r="K121" i="1"/>
  <c r="G121" i="1"/>
  <c r="O121" i="1"/>
  <c r="J98" i="14" s="1"/>
  <c r="P121" i="1"/>
  <c r="K98" i="14" s="1"/>
  <c r="F137" i="1"/>
  <c r="D23" i="1"/>
  <c r="G2" i="2" s="1"/>
  <c r="I2" i="2" s="1"/>
  <c r="I24" i="2" s="1"/>
  <c r="AB154" i="1"/>
  <c r="I137" i="1"/>
  <c r="D114" i="14" s="1"/>
  <c r="F190" i="1"/>
  <c r="K154" i="1"/>
  <c r="AK154" i="1" s="1"/>
  <c r="H161" i="1"/>
  <c r="C138" i="14" s="1"/>
  <c r="I154" i="1"/>
  <c r="D131" i="14" s="1"/>
  <c r="H154" i="1"/>
  <c r="C131" i="14" s="1"/>
  <c r="AA154" i="1"/>
  <c r="H160" i="1"/>
  <c r="C137" i="14" s="1"/>
  <c r="E190" i="1"/>
  <c r="G137" i="1"/>
  <c r="N137" i="1"/>
  <c r="I114" i="14" s="1"/>
  <c r="T137" i="1"/>
  <c r="J186" i="1"/>
  <c r="E163" i="14" s="1"/>
  <c r="C22" i="1"/>
  <c r="F3" i="2" s="1"/>
  <c r="H3" i="2" s="1"/>
  <c r="W154" i="1"/>
  <c r="I23" i="1"/>
  <c r="V160" i="1"/>
  <c r="H137" i="1"/>
  <c r="C114" i="14" s="1"/>
  <c r="I190" i="1"/>
  <c r="D167" i="14" s="1"/>
  <c r="L154" i="1"/>
  <c r="G131" i="14" s="1"/>
  <c r="W161" i="1"/>
  <c r="N154" i="1"/>
  <c r="I131" i="14" s="1"/>
  <c r="T154" i="1"/>
  <c r="E154" i="1"/>
  <c r="L190" i="1"/>
  <c r="G167" i="14" s="1"/>
  <c r="F167" i="14"/>
  <c r="T186" i="1"/>
  <c r="T112" i="1"/>
  <c r="L112" i="1"/>
  <c r="G89" i="14" s="1"/>
  <c r="F112" i="1"/>
  <c r="O112" i="1"/>
  <c r="J89" i="14" s="1"/>
  <c r="K112" i="1"/>
  <c r="E112" i="1"/>
  <c r="N112" i="1"/>
  <c r="I89" i="14" s="1"/>
  <c r="G112" i="1"/>
  <c r="F207" i="1"/>
  <c r="N207" i="1"/>
  <c r="I184" i="14" s="1"/>
  <c r="J207" i="1"/>
  <c r="E184" i="14" s="1"/>
  <c r="L207" i="1"/>
  <c r="G184" i="14" s="1"/>
  <c r="K207" i="1"/>
  <c r="G207" i="1"/>
  <c r="T207" i="1"/>
  <c r="I207" i="1"/>
  <c r="D184" i="14" s="1"/>
  <c r="E207" i="1"/>
  <c r="I175" i="1"/>
  <c r="D152" i="14" s="1"/>
  <c r="F175" i="1"/>
  <c r="G175" i="1"/>
  <c r="J175" i="1"/>
  <c r="E152" i="14" s="1"/>
  <c r="L175" i="1"/>
  <c r="G152" i="14" s="1"/>
  <c r="P175" i="1"/>
  <c r="K152" i="14" s="1"/>
  <c r="Q175" i="1"/>
  <c r="L152" i="14" s="1"/>
  <c r="T175" i="1"/>
  <c r="N175" i="1"/>
  <c r="I152" i="14" s="1"/>
  <c r="K175" i="1"/>
  <c r="E175" i="1"/>
  <c r="AB159" i="1"/>
  <c r="H163" i="1"/>
  <c r="C140" i="14" s="1"/>
  <c r="T163" i="1"/>
  <c r="J201" i="1"/>
  <c r="E178" i="14" s="1"/>
  <c r="L201" i="1"/>
  <c r="G178" i="14" s="1"/>
  <c r="G201" i="1"/>
  <c r="I201" i="1"/>
  <c r="D178" i="14" s="1"/>
  <c r="F201" i="1"/>
  <c r="N201" i="1"/>
  <c r="I178" i="14" s="1"/>
  <c r="K201" i="1"/>
  <c r="T201" i="1"/>
  <c r="H201" i="1"/>
  <c r="C178" i="14" s="1"/>
  <c r="E201" i="1"/>
  <c r="I170" i="1"/>
  <c r="D147" i="14" s="1"/>
  <c r="T170" i="1"/>
  <c r="F170" i="1"/>
  <c r="N170" i="1"/>
  <c r="I147" i="14" s="1"/>
  <c r="E170" i="1"/>
  <c r="O170" i="1"/>
  <c r="J147" i="14" s="1"/>
  <c r="G170" i="1"/>
  <c r="F203" i="1"/>
  <c r="K203" i="1"/>
  <c r="T203" i="1"/>
  <c r="J203" i="1"/>
  <c r="E180" i="14" s="1"/>
  <c r="L203" i="1"/>
  <c r="G180" i="14" s="1"/>
  <c r="G203" i="1"/>
  <c r="E203" i="1"/>
  <c r="N203" i="1"/>
  <c r="I180" i="14" s="1"/>
  <c r="I203" i="1"/>
  <c r="D180" i="14" s="1"/>
  <c r="E233" i="1"/>
  <c r="AI233" i="1"/>
  <c r="AI229" i="1"/>
  <c r="E229" i="1"/>
  <c r="AI223" i="1"/>
  <c r="E223" i="1"/>
  <c r="L199" i="1"/>
  <c r="G176" i="14" s="1"/>
  <c r="P199" i="1"/>
  <c r="K176" i="14" s="1"/>
  <c r="F199" i="1"/>
  <c r="N199" i="1"/>
  <c r="I176" i="14" s="1"/>
  <c r="J199" i="1"/>
  <c r="E176" i="14" s="1"/>
  <c r="Q199" i="1"/>
  <c r="L176" i="14" s="1"/>
  <c r="K199" i="1"/>
  <c r="G199" i="1"/>
  <c r="T199" i="1"/>
  <c r="I199" i="1"/>
  <c r="D176" i="14" s="1"/>
  <c r="E199" i="1"/>
  <c r="J197" i="1"/>
  <c r="E174" i="14" s="1"/>
  <c r="T197" i="1"/>
  <c r="N197" i="1"/>
  <c r="I174" i="14" s="1"/>
  <c r="G197" i="1"/>
  <c r="I197" i="1"/>
  <c r="D174" i="14" s="1"/>
  <c r="K197" i="1"/>
  <c r="H197" i="1"/>
  <c r="C174" i="14" s="1"/>
  <c r="F197" i="1"/>
  <c r="P197" i="1"/>
  <c r="K174" i="14" s="1"/>
  <c r="Q197" i="1"/>
  <c r="L174" i="14" s="1"/>
  <c r="E197" i="1"/>
  <c r="L197" i="1"/>
  <c r="G174" i="14" s="1"/>
  <c r="L166" i="1"/>
  <c r="G143" i="14" s="1"/>
  <c r="E166" i="1"/>
  <c r="T166" i="1"/>
  <c r="G166" i="1"/>
  <c r="K179" i="1"/>
  <c r="F179" i="1"/>
  <c r="T179" i="1"/>
  <c r="J179" i="1"/>
  <c r="E156" i="14" s="1"/>
  <c r="L179" i="1"/>
  <c r="G156" i="14" s="1"/>
  <c r="P179" i="1"/>
  <c r="K156" i="14" s="1"/>
  <c r="Q179" i="1"/>
  <c r="L156" i="14" s="1"/>
  <c r="G179" i="1"/>
  <c r="E179" i="1"/>
  <c r="N179" i="1"/>
  <c r="I156" i="14" s="1"/>
  <c r="J209" i="1"/>
  <c r="E186" i="14" s="1"/>
  <c r="L209" i="1"/>
  <c r="G186" i="14" s="1"/>
  <c r="G209" i="1"/>
  <c r="I209" i="1"/>
  <c r="D186" i="14" s="1"/>
  <c r="F209" i="1"/>
  <c r="N209" i="1"/>
  <c r="I186" i="14" s="1"/>
  <c r="H209" i="1"/>
  <c r="C186" i="14" s="1"/>
  <c r="E209" i="1"/>
  <c r="K209" i="1"/>
  <c r="T209" i="1"/>
  <c r="N64" i="1"/>
  <c r="I41" i="14" s="1"/>
  <c r="G64" i="1"/>
  <c r="J205" i="1"/>
  <c r="E182" i="14" s="1"/>
  <c r="L205" i="1"/>
  <c r="G182" i="14" s="1"/>
  <c r="N205" i="1"/>
  <c r="I182" i="14" s="1"/>
  <c r="G205" i="1"/>
  <c r="I205" i="1"/>
  <c r="D182" i="14" s="1"/>
  <c r="K205" i="1"/>
  <c r="F205" i="1"/>
  <c r="E205" i="1"/>
  <c r="H205" i="1"/>
  <c r="C182" i="14" s="1"/>
  <c r="T205" i="1"/>
  <c r="G4" i="18"/>
  <c r="L136" i="1"/>
  <c r="G113" i="14" s="1"/>
  <c r="AI231" i="1"/>
  <c r="E231" i="1"/>
  <c r="AI227" i="1"/>
  <c r="E227" i="1"/>
  <c r="E219" i="1"/>
  <c r="AI219" i="1"/>
  <c r="F135" i="1"/>
  <c r="N135" i="1"/>
  <c r="I112" i="14" s="1"/>
  <c r="K161" i="1"/>
  <c r="I161" i="1"/>
  <c r="D138" i="14" s="1"/>
  <c r="E161" i="1"/>
  <c r="AA161" i="1"/>
  <c r="K188" i="1"/>
  <c r="F165" i="14" s="1"/>
  <c r="J188" i="1"/>
  <c r="E165" i="14" s="1"/>
  <c r="K192" i="1"/>
  <c r="AK192" i="1" s="1"/>
  <c r="L135" i="1"/>
  <c r="G112" i="14" s="1"/>
  <c r="K135" i="1"/>
  <c r="AK135" i="1" s="1"/>
  <c r="F138" i="1"/>
  <c r="J138" i="1"/>
  <c r="E115" i="14" s="1"/>
  <c r="T21" i="15"/>
  <c r="AK189" i="1"/>
  <c r="E135" i="1"/>
  <c r="Q186" i="1"/>
  <c r="L163" i="14" s="1"/>
  <c r="K186" i="1"/>
  <c r="T192" i="1"/>
  <c r="Q178" i="1"/>
  <c r="L155" i="14" s="1"/>
  <c r="P178" i="1"/>
  <c r="K155" i="14" s="1"/>
  <c r="T178" i="1"/>
  <c r="N178" i="1"/>
  <c r="I155" i="14" s="1"/>
  <c r="K178" i="1"/>
  <c r="E178" i="1"/>
  <c r="L178" i="1"/>
  <c r="G155" i="14" s="1"/>
  <c r="G178" i="1"/>
  <c r="E120" i="1"/>
  <c r="G120" i="1"/>
  <c r="K120" i="1"/>
  <c r="L120" i="1"/>
  <c r="G97" i="14" s="1"/>
  <c r="J120" i="1"/>
  <c r="E97" i="14" s="1"/>
  <c r="T120" i="1"/>
  <c r="F120" i="1"/>
  <c r="N120" i="1"/>
  <c r="I97" i="14" s="1"/>
  <c r="H135" i="1"/>
  <c r="C112" i="14" s="1"/>
  <c r="M29" i="17"/>
  <c r="F124" i="14"/>
  <c r="P161" i="1"/>
  <c r="K138" i="14" s="1"/>
  <c r="F161" i="1"/>
  <c r="G161" i="1"/>
  <c r="AB161" i="1"/>
  <c r="I188" i="1"/>
  <c r="D165" i="14" s="1"/>
  <c r="H188" i="1"/>
  <c r="C165" i="14" s="1"/>
  <c r="E192" i="1"/>
  <c r="F192" i="1"/>
  <c r="T38" i="15"/>
  <c r="G135" i="1"/>
  <c r="K138" i="1"/>
  <c r="AK138" i="1" s="1"/>
  <c r="I138" i="1"/>
  <c r="D115" i="14" s="1"/>
  <c r="G138" i="1"/>
  <c r="N75" i="1"/>
  <c r="I52" i="14" s="1"/>
  <c r="L75" i="1"/>
  <c r="G52" i="14" s="1"/>
  <c r="I75" i="1"/>
  <c r="D52" i="14" s="1"/>
  <c r="J75" i="1"/>
  <c r="E52" i="14" s="1"/>
  <c r="F75" i="1"/>
  <c r="T75" i="1"/>
  <c r="E75" i="1"/>
  <c r="G75" i="1"/>
  <c r="K75" i="1"/>
  <c r="G188" i="1"/>
  <c r="K160" i="1"/>
  <c r="G160" i="1"/>
  <c r="J160" i="1"/>
  <c r="E137" i="14" s="1"/>
  <c r="T160" i="1"/>
  <c r="L160" i="1"/>
  <c r="G137" i="14" s="1"/>
  <c r="O160" i="1"/>
  <c r="J137" i="14" s="1"/>
  <c r="N160" i="1"/>
  <c r="I137" i="14" s="1"/>
  <c r="P160" i="1"/>
  <c r="K137" i="14" s="1"/>
  <c r="F160" i="1"/>
  <c r="Q160" i="1"/>
  <c r="L137" i="14" s="1"/>
  <c r="F186" i="1"/>
  <c r="E186" i="1"/>
  <c r="L186" i="1"/>
  <c r="G163" i="14" s="1"/>
  <c r="T73" i="1"/>
  <c r="F73" i="1"/>
  <c r="E73" i="1"/>
  <c r="I73" i="1"/>
  <c r="D50" i="14" s="1"/>
  <c r="J73" i="1"/>
  <c r="E50" i="14" s="1"/>
  <c r="G73" i="1"/>
  <c r="S31" i="15" s="1"/>
  <c r="Q73" i="1"/>
  <c r="L50" i="14" s="1"/>
  <c r="N73" i="1"/>
  <c r="I50" i="14" s="1"/>
  <c r="L73" i="1"/>
  <c r="G50" i="14" s="1"/>
  <c r="P73" i="1"/>
  <c r="K50" i="14" s="1"/>
  <c r="K73" i="1"/>
  <c r="H73" i="1"/>
  <c r="C50" i="14" s="1"/>
  <c r="Q161" i="1"/>
  <c r="L138" i="14" s="1"/>
  <c r="L161" i="1"/>
  <c r="G138" i="14" s="1"/>
  <c r="J161" i="1"/>
  <c r="E138" i="14" s="1"/>
  <c r="V161" i="1"/>
  <c r="T188" i="1"/>
  <c r="L192" i="1"/>
  <c r="G169" i="14" s="1"/>
  <c r="N138" i="1"/>
  <c r="I115" i="14" s="1"/>
  <c r="T135" i="1"/>
  <c r="T36" i="15"/>
  <c r="E138" i="1"/>
  <c r="P138" i="1"/>
  <c r="K115" i="14" s="1"/>
  <c r="P135" i="1"/>
  <c r="K112" i="14" s="1"/>
  <c r="I120" i="1"/>
  <c r="D97" i="14" s="1"/>
  <c r="I186" i="1"/>
  <c r="D163" i="14" s="1"/>
  <c r="G186" i="1"/>
  <c r="G190" i="1"/>
  <c r="F185" i="1"/>
  <c r="E185" i="1"/>
  <c r="T185" i="1"/>
  <c r="E169" i="1"/>
  <c r="K169" i="1"/>
  <c r="T169" i="1"/>
  <c r="G169" i="1"/>
  <c r="P169" i="1"/>
  <c r="K146" i="14" s="1"/>
  <c r="J169" i="1"/>
  <c r="E146" i="14" s="1"/>
  <c r="Q169" i="1"/>
  <c r="L146" i="14" s="1"/>
  <c r="L169" i="1"/>
  <c r="G146" i="14" s="1"/>
  <c r="F169" i="1"/>
  <c r="E182" i="1"/>
  <c r="J182" i="1"/>
  <c r="E159" i="14" s="1"/>
  <c r="N182" i="1"/>
  <c r="I159" i="14" s="1"/>
  <c r="G182" i="1"/>
  <c r="T182" i="1"/>
  <c r="F182" i="1"/>
  <c r="AA159" i="1"/>
  <c r="AI140" i="1"/>
  <c r="F17" i="14"/>
  <c r="H3" i="17"/>
  <c r="T23" i="15"/>
  <c r="T17" i="15"/>
  <c r="T18" i="15" s="1"/>
  <c r="C132" i="1"/>
  <c r="AA131" i="1"/>
  <c r="T16" i="15"/>
  <c r="AI42" i="1"/>
  <c r="AI91" i="1"/>
  <c r="K14" i="2"/>
  <c r="C3" i="17"/>
  <c r="C25" i="17" s="1"/>
  <c r="C29" i="17" s="1"/>
  <c r="C30" i="17" s="1"/>
  <c r="C34" i="17" s="1"/>
  <c r="C35" i="17" s="1"/>
  <c r="C38" i="17" s="1"/>
  <c r="C39" i="17" s="1"/>
  <c r="D239" i="14"/>
  <c r="AA127" i="1"/>
  <c r="I62" i="1"/>
  <c r="D39" i="14" s="1"/>
  <c r="H62" i="1"/>
  <c r="C39" i="14" s="1"/>
  <c r="L62" i="1"/>
  <c r="G39" i="14" s="1"/>
  <c r="Q62" i="1"/>
  <c r="L39" i="14" s="1"/>
  <c r="P62" i="1"/>
  <c r="K39" i="14" s="1"/>
  <c r="K62" i="1"/>
  <c r="F39" i="14" s="1"/>
  <c r="N62" i="1"/>
  <c r="I39" i="14" s="1"/>
  <c r="J62" i="1"/>
  <c r="E39" i="14" s="1"/>
  <c r="R33" i="14"/>
  <c r="E238" i="14"/>
  <c r="E242" i="14" s="1"/>
  <c r="D238" i="14"/>
  <c r="G238" i="14"/>
  <c r="F238" i="14"/>
  <c r="T55" i="1"/>
  <c r="G21" i="2"/>
  <c r="K21" i="2" s="1"/>
  <c r="T41" i="1"/>
  <c r="F112" i="14"/>
  <c r="G171" i="1"/>
  <c r="T39" i="1"/>
  <c r="G19" i="2"/>
  <c r="I39" i="1"/>
  <c r="D16" i="14" s="1"/>
  <c r="L39" i="1"/>
  <c r="G16" i="14" s="1"/>
  <c r="N39" i="1"/>
  <c r="I16" i="14" s="1"/>
  <c r="R39" i="1"/>
  <c r="M16" i="14" s="1"/>
  <c r="F39" i="1"/>
  <c r="M39" i="1"/>
  <c r="H16" i="14" s="1"/>
  <c r="K39" i="1"/>
  <c r="J39" i="1"/>
  <c r="E16" i="14" s="1"/>
  <c r="F168" i="14"/>
  <c r="AK191" i="1"/>
  <c r="R53" i="1"/>
  <c r="H30" i="14"/>
  <c r="F113" i="14"/>
  <c r="AK136" i="1"/>
  <c r="T171" i="1"/>
  <c r="E113" i="1"/>
  <c r="J113" i="1"/>
  <c r="E90" i="14" s="1"/>
  <c r="O113" i="1"/>
  <c r="J90" i="14" s="1"/>
  <c r="K113" i="1"/>
  <c r="N113" i="1"/>
  <c r="I90" i="14" s="1"/>
  <c r="L113" i="1"/>
  <c r="G90" i="14" s="1"/>
  <c r="S113" i="1"/>
  <c r="N90" i="14" s="1"/>
  <c r="T113" i="1"/>
  <c r="T25" i="15"/>
  <c r="J3" i="17"/>
  <c r="T61" i="1"/>
  <c r="G61" i="1"/>
  <c r="J61" i="1" s="1"/>
  <c r="E38" i="14" s="1"/>
  <c r="AK188" i="1"/>
  <c r="AK118" i="1"/>
  <c r="F95" i="14"/>
  <c r="T150" i="1"/>
  <c r="F150" i="1"/>
  <c r="E150" i="1"/>
  <c r="N150" i="1"/>
  <c r="I127" i="14" s="1"/>
  <c r="G150" i="1"/>
  <c r="F193" i="1"/>
  <c r="T193" i="1"/>
  <c r="G193" i="1"/>
  <c r="L193" i="1"/>
  <c r="G170" i="14" s="1"/>
  <c r="E193" i="1"/>
  <c r="F239" i="14"/>
  <c r="G239" i="14"/>
  <c r="AD5" i="18"/>
  <c r="R55" i="1"/>
  <c r="H32" i="14"/>
  <c r="AF5" i="18"/>
  <c r="AC5" i="18"/>
  <c r="H142" i="1"/>
  <c r="C119" i="14" s="1"/>
  <c r="E142" i="1"/>
  <c r="V142" i="1" s="1"/>
  <c r="J142" i="1"/>
  <c r="E119" i="14" s="1"/>
  <c r="I142" i="1"/>
  <c r="D119" i="14" s="1"/>
  <c r="G142" i="1"/>
  <c r="T142" i="1"/>
  <c r="P142" i="1"/>
  <c r="K119" i="14" s="1"/>
  <c r="K142" i="1"/>
  <c r="Q142" i="1"/>
  <c r="L119" i="14" s="1"/>
  <c r="N142" i="1"/>
  <c r="I119" i="14" s="1"/>
  <c r="L142" i="1"/>
  <c r="G119" i="14" s="1"/>
  <c r="K12" i="2"/>
  <c r="AK76" i="1"/>
  <c r="F53" i="14"/>
  <c r="T44" i="1"/>
  <c r="G44" i="1"/>
  <c r="M44" i="1" s="1"/>
  <c r="T50" i="1"/>
  <c r="G50" i="1"/>
  <c r="M50" i="1" s="1"/>
  <c r="F138" i="14"/>
  <c r="AK161" i="1"/>
  <c r="K15" i="2"/>
  <c r="G143" i="1"/>
  <c r="I143" i="1"/>
  <c r="D120" i="14" s="1"/>
  <c r="H143" i="1"/>
  <c r="C120" i="14" s="1"/>
  <c r="J143" i="1"/>
  <c r="E120" i="14" s="1"/>
  <c r="T143" i="1"/>
  <c r="E143" i="1"/>
  <c r="L143" i="1"/>
  <c r="G120" i="14" s="1"/>
  <c r="K143" i="1"/>
  <c r="AK166" i="1"/>
  <c r="F143" i="14"/>
  <c r="M30" i="17"/>
  <c r="M34" i="17" s="1"/>
  <c r="M35" i="17" s="1"/>
  <c r="M38" i="17" s="1"/>
  <c r="M39" i="17" s="1"/>
  <c r="F144" i="1"/>
  <c r="I144" i="1"/>
  <c r="D121" i="14" s="1"/>
  <c r="J144" i="1"/>
  <c r="E121" i="14" s="1"/>
  <c r="T144" i="1"/>
  <c r="K144" i="1"/>
  <c r="L144" i="1"/>
  <c r="G121" i="14" s="1"/>
  <c r="H180" i="1"/>
  <c r="C157" i="14" s="1"/>
  <c r="I180" i="1"/>
  <c r="D157" i="14" s="1"/>
  <c r="J180" i="1"/>
  <c r="E157" i="14" s="1"/>
  <c r="Q180" i="1"/>
  <c r="L157" i="14" s="1"/>
  <c r="K180" i="1"/>
  <c r="L180" i="1"/>
  <c r="G157" i="14" s="1"/>
  <c r="P180" i="1"/>
  <c r="K157" i="14" s="1"/>
  <c r="T180" i="1"/>
  <c r="N180" i="1"/>
  <c r="I157" i="14" s="1"/>
  <c r="F180" i="1"/>
  <c r="G180" i="1"/>
  <c r="E180" i="1"/>
  <c r="J181" i="1"/>
  <c r="E158" i="14" s="1"/>
  <c r="T181" i="1"/>
  <c r="N181" i="1"/>
  <c r="I158" i="14" s="1"/>
  <c r="F181" i="1"/>
  <c r="E181" i="1"/>
  <c r="I181" i="1"/>
  <c r="D158" i="14" s="1"/>
  <c r="G181" i="1"/>
  <c r="Z5" i="18"/>
  <c r="F194" i="1"/>
  <c r="N194" i="1"/>
  <c r="I171" i="14" s="1"/>
  <c r="E194" i="1"/>
  <c r="P194" i="1"/>
  <c r="K171" i="14" s="1"/>
  <c r="Q194" i="1"/>
  <c r="L171" i="14" s="1"/>
  <c r="G194" i="1"/>
  <c r="T194" i="1"/>
  <c r="T114" i="1"/>
  <c r="G114" i="1"/>
  <c r="S51" i="15" s="1"/>
  <c r="Q114" i="1"/>
  <c r="L91" i="14" s="1"/>
  <c r="E114" i="1"/>
  <c r="P114" i="1"/>
  <c r="K91" i="14" s="1"/>
  <c r="N114" i="1"/>
  <c r="I91" i="14" s="1"/>
  <c r="F114" i="1"/>
  <c r="T79" i="1"/>
  <c r="G54" i="1"/>
  <c r="M54" i="1" s="1"/>
  <c r="T54" i="1"/>
  <c r="G19" i="1"/>
  <c r="AI19" i="1"/>
  <c r="J108" i="1"/>
  <c r="E85" i="14" s="1"/>
  <c r="T108" i="1"/>
  <c r="I108" i="1"/>
  <c r="D85" i="14" s="1"/>
  <c r="K108" i="1"/>
  <c r="N108" i="1"/>
  <c r="I85" i="14" s="1"/>
  <c r="E108" i="1"/>
  <c r="L108" i="1"/>
  <c r="G85" i="14" s="1"/>
  <c r="F108" i="1"/>
  <c r="G108" i="1"/>
  <c r="S171" i="1"/>
  <c r="N148" i="14" s="1"/>
  <c r="AK74" i="1"/>
  <c r="F51" i="14"/>
  <c r="AA126" i="1"/>
  <c r="T126" i="1"/>
  <c r="K13" i="2"/>
  <c r="T35" i="15"/>
  <c r="AH4" i="18"/>
  <c r="H111" i="1"/>
  <c r="C88" i="14" s="1"/>
  <c r="I111" i="1"/>
  <c r="D88" i="14" s="1"/>
  <c r="J111" i="1"/>
  <c r="E88" i="14" s="1"/>
  <c r="K111" i="1"/>
  <c r="T111" i="1"/>
  <c r="N111" i="1"/>
  <c r="I88" i="14" s="1"/>
  <c r="F111" i="1"/>
  <c r="E111" i="1"/>
  <c r="L111" i="1"/>
  <c r="G88" i="14" s="1"/>
  <c r="G111" i="1"/>
  <c r="D132" i="1"/>
  <c r="F170" i="14"/>
  <c r="AK193" i="1"/>
  <c r="K17" i="2"/>
  <c r="T153" i="1"/>
  <c r="F153" i="1"/>
  <c r="G153" i="1"/>
  <c r="E153" i="1"/>
  <c r="T148" i="1"/>
  <c r="E148" i="1"/>
  <c r="N148" i="1"/>
  <c r="I125" i="14" s="1"/>
  <c r="F148" i="1"/>
  <c r="O148" i="1"/>
  <c r="J125" i="14" s="1"/>
  <c r="G148" i="1"/>
  <c r="T86" i="1"/>
  <c r="T65" i="1"/>
  <c r="G65" i="1"/>
  <c r="AG5" i="18"/>
  <c r="T83" i="1"/>
  <c r="G48" i="1"/>
  <c r="M48" i="1" s="1"/>
  <c r="T48" i="1"/>
  <c r="T57" i="1"/>
  <c r="G57" i="1"/>
  <c r="M57" i="1" s="1"/>
  <c r="T46" i="1"/>
  <c r="G46" i="1"/>
  <c r="M46" i="1" s="1"/>
  <c r="G20" i="1"/>
  <c r="AI20" i="1"/>
  <c r="G25" i="17"/>
  <c r="G29" i="17" s="1"/>
  <c r="K11" i="2"/>
  <c r="F142" i="1"/>
  <c r="P30" i="17"/>
  <c r="P34" i="17" s="1"/>
  <c r="P35" i="17" s="1"/>
  <c r="P38" i="17" s="1"/>
  <c r="P39" i="17" s="1"/>
  <c r="G144" i="1"/>
  <c r="G145" i="1"/>
  <c r="I145" i="1"/>
  <c r="D122" i="14" s="1"/>
  <c r="H145" i="1"/>
  <c r="C122" i="14" s="1"/>
  <c r="E145" i="1"/>
  <c r="J145" i="1"/>
  <c r="E122" i="14" s="1"/>
  <c r="T145" i="1"/>
  <c r="K145" i="1"/>
  <c r="L145" i="1"/>
  <c r="G122" i="14" s="1"/>
  <c r="T195" i="1"/>
  <c r="F143" i="1"/>
  <c r="G152" i="1"/>
  <c r="S53" i="15" s="1"/>
  <c r="I152" i="1"/>
  <c r="D129" i="14" s="1"/>
  <c r="J152" i="1"/>
  <c r="E129" i="14" s="1"/>
  <c r="H152" i="1"/>
  <c r="C129" i="14" s="1"/>
  <c r="T152" i="1"/>
  <c r="E152" i="1"/>
  <c r="Q152" i="1"/>
  <c r="L129" i="14" s="1"/>
  <c r="O152" i="1"/>
  <c r="J129" i="14" s="1"/>
  <c r="L152" i="1"/>
  <c r="G129" i="14" s="1"/>
  <c r="P152" i="1"/>
  <c r="K129" i="14" s="1"/>
  <c r="N152" i="1"/>
  <c r="I129" i="14" s="1"/>
  <c r="K152" i="1"/>
  <c r="T26" i="1"/>
  <c r="AI26" i="1"/>
  <c r="E26" i="1"/>
  <c r="O30" i="17"/>
  <c r="O34" i="17" s="1"/>
  <c r="O35" i="17" s="1"/>
  <c r="O38" i="17" s="1"/>
  <c r="O39" i="17" s="1"/>
  <c r="T82" i="1"/>
  <c r="T87" i="1"/>
  <c r="T52" i="1"/>
  <c r="G52" i="1"/>
  <c r="M52" i="1" s="1"/>
  <c r="J20" i="2"/>
  <c r="K20" i="2"/>
  <c r="E171" i="1"/>
  <c r="L25" i="17"/>
  <c r="H2" i="2"/>
  <c r="B5" i="2"/>
  <c r="D241" i="14" l="1"/>
  <c r="F241" i="14" s="1"/>
  <c r="F49" i="14"/>
  <c r="AK137" i="1"/>
  <c r="R49" i="1"/>
  <c r="H26" i="14"/>
  <c r="F131" i="14"/>
  <c r="F115" i="14"/>
  <c r="T23" i="1"/>
  <c r="H4" i="2"/>
  <c r="E89" i="1" s="1"/>
  <c r="T22" i="1"/>
  <c r="J3" i="2"/>
  <c r="AK121" i="1"/>
  <c r="F98" i="14"/>
  <c r="F169" i="14"/>
  <c r="F89" i="14"/>
  <c r="AK112" i="1"/>
  <c r="G185" i="1"/>
  <c r="B63" i="15" s="1"/>
  <c r="H63" i="15" s="1"/>
  <c r="AK197" i="1"/>
  <c r="F174" i="14"/>
  <c r="F156" i="14"/>
  <c r="AK179" i="1"/>
  <c r="F152" i="14"/>
  <c r="AK175" i="1"/>
  <c r="AK205" i="1"/>
  <c r="F182" i="14"/>
  <c r="AK199" i="1"/>
  <c r="F176" i="14"/>
  <c r="F180" i="14"/>
  <c r="AK203" i="1"/>
  <c r="AK201" i="1"/>
  <c r="F178" i="14"/>
  <c r="AK209" i="1"/>
  <c r="F186" i="14"/>
  <c r="AK207" i="1"/>
  <c r="F184" i="14"/>
  <c r="S185" i="1"/>
  <c r="N162" i="14" s="1"/>
  <c r="J185" i="1"/>
  <c r="E162" i="14" s="1"/>
  <c r="L185" i="1"/>
  <c r="G162" i="14" s="1"/>
  <c r="O185" i="1"/>
  <c r="J162" i="14" s="1"/>
  <c r="P185" i="1"/>
  <c r="K162" i="14" s="1"/>
  <c r="Q185" i="1"/>
  <c r="L162" i="14" s="1"/>
  <c r="N185" i="1"/>
  <c r="I162" i="14" s="1"/>
  <c r="K185" i="1"/>
  <c r="AK185" i="1" s="1"/>
  <c r="AK160" i="1"/>
  <c r="F137" i="14"/>
  <c r="AK120" i="1"/>
  <c r="F97" i="14"/>
  <c r="F163" i="14"/>
  <c r="AK186" i="1"/>
  <c r="F50" i="14"/>
  <c r="AK73" i="1"/>
  <c r="AK178" i="1"/>
  <c r="F155" i="14"/>
  <c r="AK169" i="1"/>
  <c r="F146" i="14"/>
  <c r="F52" i="14"/>
  <c r="AK75" i="1"/>
  <c r="E158" i="1"/>
  <c r="E156" i="1"/>
  <c r="E157" i="1"/>
  <c r="E71" i="1"/>
  <c r="E155" i="1"/>
  <c r="T132" i="1"/>
  <c r="E69" i="1"/>
  <c r="E70" i="1"/>
  <c r="E68" i="1"/>
  <c r="L61" i="1"/>
  <c r="G38" i="14" s="1"/>
  <c r="Q61" i="1"/>
  <c r="L38" i="14" s="1"/>
  <c r="R32" i="14"/>
  <c r="AK62" i="1"/>
  <c r="G242" i="14"/>
  <c r="N61" i="1"/>
  <c r="I38" i="14" s="1"/>
  <c r="K61" i="1"/>
  <c r="AK61" i="1" s="1"/>
  <c r="S26" i="15"/>
  <c r="H61" i="1"/>
  <c r="C38" i="14" s="1"/>
  <c r="P61" i="1"/>
  <c r="K38" i="14" s="1"/>
  <c r="I61" i="1"/>
  <c r="D38" i="14" s="1"/>
  <c r="J19" i="2"/>
  <c r="K19" i="2"/>
  <c r="F242" i="14"/>
  <c r="AK39" i="1"/>
  <c r="F16" i="14"/>
  <c r="F90" i="14"/>
  <c r="AK113" i="1"/>
  <c r="E85" i="1"/>
  <c r="E80" i="1"/>
  <c r="E88" i="1"/>
  <c r="E84" i="1"/>
  <c r="E81" i="1"/>
  <c r="F81" i="1"/>
  <c r="E87" i="1"/>
  <c r="H209" i="14"/>
  <c r="H207" i="14" s="1"/>
  <c r="H214" i="14" s="1"/>
  <c r="B4" i="1"/>
  <c r="G30" i="17"/>
  <c r="G34" i="17" s="1"/>
  <c r="G35" i="17" s="1"/>
  <c r="G38" i="17" s="1"/>
  <c r="G39" i="17" s="1"/>
  <c r="R57" i="1"/>
  <c r="H34" i="14"/>
  <c r="E86" i="1"/>
  <c r="H31" i="14"/>
  <c r="R54" i="1"/>
  <c r="R44" i="1"/>
  <c r="H21" i="14"/>
  <c r="R52" i="1"/>
  <c r="H29" i="14"/>
  <c r="F85" i="14"/>
  <c r="AK108" i="1"/>
  <c r="AK180" i="1"/>
  <c r="F157" i="14"/>
  <c r="W142" i="1"/>
  <c r="AA142" i="1"/>
  <c r="L29" i="17"/>
  <c r="L30" i="17" s="1"/>
  <c r="L34" i="17" s="1"/>
  <c r="L35" i="17" s="1"/>
  <c r="L38" i="17" s="1"/>
  <c r="L39" i="17" s="1"/>
  <c r="H23" i="14"/>
  <c r="R23" i="14" s="1"/>
  <c r="R46" i="1"/>
  <c r="E83" i="1"/>
  <c r="F88" i="14"/>
  <c r="AK111" i="1"/>
  <c r="AH5" i="18"/>
  <c r="E79" i="1"/>
  <c r="R50" i="1"/>
  <c r="H27" i="14"/>
  <c r="E82" i="1"/>
  <c r="AK152" i="1"/>
  <c r="F129" i="14"/>
  <c r="AK145" i="1"/>
  <c r="F122" i="14"/>
  <c r="R48" i="1"/>
  <c r="H25" i="14"/>
  <c r="F121" i="14"/>
  <c r="AK144" i="1"/>
  <c r="F120" i="14"/>
  <c r="AK143" i="1"/>
  <c r="AK142" i="1"/>
  <c r="F119" i="14"/>
  <c r="H15" i="2"/>
  <c r="H21" i="2"/>
  <c r="H20" i="2"/>
  <c r="H11" i="2"/>
  <c r="H13" i="2"/>
  <c r="H16" i="2"/>
  <c r="H24" i="2"/>
  <c r="H10" i="2" s="1"/>
  <c r="H12" i="2"/>
  <c r="H19" i="2"/>
  <c r="H14" i="2"/>
  <c r="H18" i="2"/>
  <c r="H8" i="2"/>
  <c r="H9" i="2"/>
  <c r="H17" i="2"/>
  <c r="B10" i="17"/>
  <c r="I4" i="2"/>
  <c r="K3" i="2"/>
  <c r="E28" i="1" l="1"/>
  <c r="E159" i="1"/>
  <c r="F159" i="1"/>
  <c r="S56" i="15"/>
  <c r="E131" i="1"/>
  <c r="E129" i="1"/>
  <c r="E130" i="1"/>
  <c r="E127" i="1"/>
  <c r="E128" i="1"/>
  <c r="E126" i="1"/>
  <c r="E125" i="1"/>
  <c r="E195" i="1"/>
  <c r="S14" i="8"/>
  <c r="F162" i="14"/>
  <c r="G159" i="1"/>
  <c r="F157" i="1"/>
  <c r="G157" i="1" s="1"/>
  <c r="F158" i="1"/>
  <c r="G158" i="1" s="1"/>
  <c r="F155" i="1"/>
  <c r="G155" i="1" s="1"/>
  <c r="O155" i="1" s="1"/>
  <c r="J132" i="14" s="1"/>
  <c r="F156" i="1"/>
  <c r="G156" i="1" s="1"/>
  <c r="F38" i="14"/>
  <c r="F70" i="1"/>
  <c r="G70" i="1" s="1"/>
  <c r="F71" i="1"/>
  <c r="G71" i="1" s="1"/>
  <c r="F68" i="1"/>
  <c r="G68" i="1" s="1"/>
  <c r="F69" i="1"/>
  <c r="G69" i="1" s="1"/>
  <c r="H242" i="14"/>
  <c r="J242" i="14" s="1"/>
  <c r="L246" i="1" s="1"/>
  <c r="G81" i="1"/>
  <c r="S36" i="15" s="1"/>
  <c r="E34" i="1"/>
  <c r="F127" i="1"/>
  <c r="G127" i="1" s="1"/>
  <c r="F131" i="1"/>
  <c r="G131" i="1" s="1"/>
  <c r="F129" i="1"/>
  <c r="F130" i="1"/>
  <c r="F125" i="1"/>
  <c r="F128" i="1"/>
  <c r="F195" i="1"/>
  <c r="F126" i="1"/>
  <c r="E29" i="1"/>
  <c r="E35" i="1"/>
  <c r="E36" i="1"/>
  <c r="E33" i="1"/>
  <c r="F88" i="1"/>
  <c r="G88" i="1" s="1"/>
  <c r="F80" i="1"/>
  <c r="G80" i="1" s="1"/>
  <c r="F85" i="1"/>
  <c r="G85" i="1" s="1"/>
  <c r="S38" i="15" s="1"/>
  <c r="F84" i="1"/>
  <c r="G84" i="1" s="1"/>
  <c r="S37" i="15" s="1"/>
  <c r="F89" i="1"/>
  <c r="G89" i="1" s="1"/>
  <c r="F79" i="1"/>
  <c r="G79" i="1" s="1"/>
  <c r="S35" i="15" s="1"/>
  <c r="F86" i="1"/>
  <c r="G86" i="1" s="1"/>
  <c r="F83" i="1"/>
  <c r="G83" i="1" s="1"/>
  <c r="F82" i="1"/>
  <c r="G82" i="1" s="1"/>
  <c r="F87" i="1"/>
  <c r="G87" i="1" s="1"/>
  <c r="E32" i="1"/>
  <c r="E31" i="1"/>
  <c r="E37" i="1"/>
  <c r="E41" i="1"/>
  <c r="E38" i="1"/>
  <c r="E30" i="1"/>
  <c r="I20" i="2"/>
  <c r="I19" i="2"/>
  <c r="I9" i="2"/>
  <c r="F29" i="1" s="1"/>
  <c r="I8" i="2"/>
  <c r="J8" i="2" s="1"/>
  <c r="G28" i="1" s="1"/>
  <c r="I11" i="2"/>
  <c r="F31" i="1" s="1"/>
  <c r="I14" i="2"/>
  <c r="F34" i="1" s="1"/>
  <c r="I12" i="2"/>
  <c r="F32" i="1" s="1"/>
  <c r="I18" i="2"/>
  <c r="F38" i="1" s="1"/>
  <c r="I15" i="2"/>
  <c r="F35" i="1" s="1"/>
  <c r="I16" i="2"/>
  <c r="F36" i="1" s="1"/>
  <c r="B9" i="17"/>
  <c r="I21" i="2"/>
  <c r="F41" i="1" s="1"/>
  <c r="I13" i="2"/>
  <c r="F33" i="1" s="1"/>
  <c r="I17" i="2"/>
  <c r="F37" i="1" s="1"/>
  <c r="I10" i="2"/>
  <c r="F30" i="1" s="1"/>
  <c r="T14" i="8"/>
  <c r="L3" i="2"/>
  <c r="B7" i="18"/>
  <c r="B8" i="18" s="1"/>
  <c r="B6" i="18" s="1"/>
  <c r="S14" i="15" l="1"/>
  <c r="R28" i="1"/>
  <c r="M5" i="14" s="1"/>
  <c r="J28" i="1"/>
  <c r="E5" i="14" s="1"/>
  <c r="M28" i="1"/>
  <c r="H5" i="14" s="1"/>
  <c r="R21" i="14" s="1"/>
  <c r="K28" i="1"/>
  <c r="I28" i="1"/>
  <c r="D5" i="14" s="1"/>
  <c r="Q28" i="1"/>
  <c r="L5" i="14" s="1"/>
  <c r="H28" i="1"/>
  <c r="C5" i="14" s="1"/>
  <c r="P28" i="1"/>
  <c r="K5" i="14" s="1"/>
  <c r="L28" i="1"/>
  <c r="G5" i="14" s="1"/>
  <c r="N28" i="1"/>
  <c r="I5" i="14" s="1"/>
  <c r="W106" i="8"/>
  <c r="T106" i="8" s="1"/>
  <c r="I106" i="8" s="1"/>
  <c r="D105" i="1" s="1"/>
  <c r="F105" i="1" s="1"/>
  <c r="W104" i="8"/>
  <c r="T104" i="8" s="1"/>
  <c r="W102" i="8"/>
  <c r="T102" i="8" s="1"/>
  <c r="W100" i="8"/>
  <c r="T100" i="8" s="1"/>
  <c r="I100" i="8" s="1"/>
  <c r="D99" i="1" s="1"/>
  <c r="F99" i="1" s="1"/>
  <c r="W98" i="8"/>
  <c r="T98" i="8" s="1"/>
  <c r="I98" i="8" s="1"/>
  <c r="D97" i="1" s="1"/>
  <c r="F97" i="1" s="1"/>
  <c r="W96" i="8"/>
  <c r="T96" i="8" s="1"/>
  <c r="I96" i="8" s="1"/>
  <c r="D95" i="1" s="1"/>
  <c r="F95" i="1" s="1"/>
  <c r="W103" i="8"/>
  <c r="T103" i="8" s="1"/>
  <c r="W99" i="8"/>
  <c r="T99" i="8" s="1"/>
  <c r="I99" i="8" s="1"/>
  <c r="D98" i="1" s="1"/>
  <c r="F98" i="1" s="1"/>
  <c r="W95" i="8"/>
  <c r="T95" i="8" s="1"/>
  <c r="I95" i="8" s="1"/>
  <c r="D94" i="1" s="1"/>
  <c r="F94" i="1" s="1"/>
  <c r="V103" i="8"/>
  <c r="S103" i="8" s="1"/>
  <c r="V99" i="8"/>
  <c r="S99" i="8" s="1"/>
  <c r="H99" i="8" s="1"/>
  <c r="V95" i="8"/>
  <c r="S95" i="8" s="1"/>
  <c r="H95" i="8" s="1"/>
  <c r="V106" i="8"/>
  <c r="S106" i="8" s="1"/>
  <c r="H106" i="8" s="1"/>
  <c r="V104" i="8"/>
  <c r="S104" i="8" s="1"/>
  <c r="H104" i="8" s="1"/>
  <c r="V102" i="8"/>
  <c r="S102" i="8" s="1"/>
  <c r="V100" i="8"/>
  <c r="S100" i="8" s="1"/>
  <c r="H100" i="8" s="1"/>
  <c r="V98" i="8"/>
  <c r="S98" i="8" s="1"/>
  <c r="H98" i="8" s="1"/>
  <c r="V96" i="8"/>
  <c r="S96" i="8" s="1"/>
  <c r="H96" i="8" s="1"/>
  <c r="W105" i="8"/>
  <c r="T105" i="8" s="1"/>
  <c r="I105" i="8" s="1"/>
  <c r="D104" i="1" s="1"/>
  <c r="F104" i="1" s="1"/>
  <c r="W101" i="8"/>
  <c r="T101" i="8" s="1"/>
  <c r="I101" i="8" s="1"/>
  <c r="D100" i="1" s="1"/>
  <c r="F100" i="1" s="1"/>
  <c r="W97" i="8"/>
  <c r="T97" i="8" s="1"/>
  <c r="I97" i="8" s="1"/>
  <c r="D96" i="1" s="1"/>
  <c r="F96" i="1" s="1"/>
  <c r="V105" i="8"/>
  <c r="S105" i="8" s="1"/>
  <c r="H105" i="8" s="1"/>
  <c r="V101" i="8"/>
  <c r="S101" i="8" s="1"/>
  <c r="V97" i="8"/>
  <c r="S97" i="8" s="1"/>
  <c r="H97" i="8" s="1"/>
  <c r="C96" i="1" s="1"/>
  <c r="E96" i="1" s="1"/>
  <c r="V94" i="8"/>
  <c r="S94" i="8" s="1"/>
  <c r="W94" i="8"/>
  <c r="T94" i="8" s="1"/>
  <c r="I94" i="8" s="1"/>
  <c r="D93" i="1" s="1"/>
  <c r="F93" i="1" s="1"/>
  <c r="I102" i="8"/>
  <c r="D101" i="1" s="1"/>
  <c r="F101" i="1" s="1"/>
  <c r="I104" i="8"/>
  <c r="D103" i="1" s="1"/>
  <c r="F103" i="1" s="1"/>
  <c r="I103" i="8"/>
  <c r="D102" i="1" s="1"/>
  <c r="F102" i="1" s="1"/>
  <c r="S133" i="8"/>
  <c r="H101" i="8"/>
  <c r="H103" i="8"/>
  <c r="H102" i="8"/>
  <c r="T133" i="8"/>
  <c r="G130" i="1"/>
  <c r="G129" i="1"/>
  <c r="E132" i="1"/>
  <c r="G126" i="1"/>
  <c r="N126" i="1" s="1"/>
  <c r="I103" i="14" s="1"/>
  <c r="G128" i="1"/>
  <c r="N128" i="1" s="1"/>
  <c r="I105" i="14" s="1"/>
  <c r="G125" i="1"/>
  <c r="O125" i="1" s="1"/>
  <c r="J102" i="14" s="1"/>
  <c r="G195" i="1"/>
  <c r="K237" i="14" s="1"/>
  <c r="N159" i="1"/>
  <c r="I136" i="14" s="1"/>
  <c r="O159" i="1"/>
  <c r="J136" i="14" s="1"/>
  <c r="P159" i="1"/>
  <c r="K136" i="14" s="1"/>
  <c r="Q159" i="1"/>
  <c r="L136" i="14" s="1"/>
  <c r="S54" i="15"/>
  <c r="O157" i="1"/>
  <c r="J134" i="14" s="1"/>
  <c r="H157" i="1"/>
  <c r="C134" i="14" s="1"/>
  <c r="L157" i="1"/>
  <c r="G134" i="14" s="1"/>
  <c r="K157" i="1"/>
  <c r="I157" i="1"/>
  <c r="D134" i="14" s="1"/>
  <c r="N157" i="1"/>
  <c r="I134" i="14" s="1"/>
  <c r="J157" i="1"/>
  <c r="E134" i="14" s="1"/>
  <c r="N155" i="1"/>
  <c r="I132" i="14" s="1"/>
  <c r="N156" i="1"/>
  <c r="I133" i="14" s="1"/>
  <c r="O156" i="1"/>
  <c r="J133" i="14" s="1"/>
  <c r="H156" i="1"/>
  <c r="C133" i="14" s="1"/>
  <c r="L156" i="1"/>
  <c r="G133" i="14" s="1"/>
  <c r="I156" i="1"/>
  <c r="D133" i="14" s="1"/>
  <c r="J156" i="1"/>
  <c r="E133" i="14" s="1"/>
  <c r="K156" i="1"/>
  <c r="J155" i="1"/>
  <c r="E132" i="14" s="1"/>
  <c r="I155" i="1"/>
  <c r="D132" i="14" s="1"/>
  <c r="H155" i="1"/>
  <c r="C132" i="14" s="1"/>
  <c r="L155" i="1"/>
  <c r="G132" i="14" s="1"/>
  <c r="K155" i="1"/>
  <c r="F132" i="14" s="1"/>
  <c r="U133" i="8"/>
  <c r="V132" i="1" s="1"/>
  <c r="AA132" i="1" s="1"/>
  <c r="S30" i="15"/>
  <c r="J71" i="1"/>
  <c r="E48" i="14" s="1"/>
  <c r="K71" i="1"/>
  <c r="P71" i="1"/>
  <c r="K48" i="14" s="1"/>
  <c r="N71" i="1"/>
  <c r="I48" i="14" s="1"/>
  <c r="I71" i="1"/>
  <c r="D48" i="14" s="1"/>
  <c r="Q71" i="1"/>
  <c r="L48" i="14" s="1"/>
  <c r="L71" i="1"/>
  <c r="G48" i="14" s="1"/>
  <c r="H71" i="1"/>
  <c r="C48" i="14" s="1"/>
  <c r="S29" i="15"/>
  <c r="I70" i="1"/>
  <c r="D47" i="14" s="1"/>
  <c r="N70" i="1"/>
  <c r="I47" i="14" s="1"/>
  <c r="J70" i="1"/>
  <c r="E47" i="14" s="1"/>
  <c r="P70" i="1"/>
  <c r="K47" i="14" s="1"/>
  <c r="L70" i="1"/>
  <c r="G47" i="14" s="1"/>
  <c r="Q70" i="1"/>
  <c r="L47" i="14" s="1"/>
  <c r="K70" i="1"/>
  <c r="H70" i="1"/>
  <c r="C47" i="14" s="1"/>
  <c r="S28" i="15"/>
  <c r="Q69" i="1"/>
  <c r="L46" i="14" s="1"/>
  <c r="J69" i="1"/>
  <c r="E46" i="14" s="1"/>
  <c r="K69" i="1"/>
  <c r="I69" i="1"/>
  <c r="D46" i="14" s="1"/>
  <c r="N69" i="1"/>
  <c r="I46" i="14" s="1"/>
  <c r="L69" i="1"/>
  <c r="G46" i="14" s="1"/>
  <c r="P69" i="1"/>
  <c r="K46" i="14" s="1"/>
  <c r="H69" i="1"/>
  <c r="C46" i="14" s="1"/>
  <c r="S27" i="15"/>
  <c r="P68" i="1"/>
  <c r="K45" i="14" s="1"/>
  <c r="J68" i="1"/>
  <c r="E45" i="14" s="1"/>
  <c r="Q68" i="1"/>
  <c r="L45" i="14" s="1"/>
  <c r="L68" i="1"/>
  <c r="G45" i="14" s="1"/>
  <c r="H68" i="1"/>
  <c r="C45" i="14" s="1"/>
  <c r="I68" i="1"/>
  <c r="D45" i="14" s="1"/>
  <c r="K68" i="1"/>
  <c r="N68" i="1"/>
  <c r="I45" i="14" s="1"/>
  <c r="J13" i="2"/>
  <c r="G33" i="1" s="1"/>
  <c r="R33" i="1" s="1"/>
  <c r="M10" i="14" s="1"/>
  <c r="J18" i="2"/>
  <c r="G38" i="1" s="1"/>
  <c r="S24" i="15" s="1"/>
  <c r="J21" i="2"/>
  <c r="G41" i="1" s="1"/>
  <c r="N41" i="1" s="1"/>
  <c r="I18" i="14" s="1"/>
  <c r="O128" i="1"/>
  <c r="J105" i="14" s="1"/>
  <c r="S89" i="1"/>
  <c r="N66" i="14" s="1"/>
  <c r="O89" i="1"/>
  <c r="J66" i="14" s="1"/>
  <c r="P89" i="1"/>
  <c r="K66" i="14" s="1"/>
  <c r="S34" i="15"/>
  <c r="J89" i="1"/>
  <c r="E66" i="14" s="1"/>
  <c r="K89" i="1"/>
  <c r="H89" i="1"/>
  <c r="C66" i="14" s="1"/>
  <c r="L89" i="1"/>
  <c r="G66" i="14" s="1"/>
  <c r="I89" i="1"/>
  <c r="D66" i="14" s="1"/>
  <c r="Q89" i="1"/>
  <c r="L66" i="14" s="1"/>
  <c r="N89" i="1"/>
  <c r="I66" i="14" s="1"/>
  <c r="O130" i="1"/>
  <c r="J107" i="14" s="1"/>
  <c r="N130" i="1"/>
  <c r="I107" i="14" s="1"/>
  <c r="N129" i="1"/>
  <c r="I106" i="14" s="1"/>
  <c r="O129" i="1"/>
  <c r="J106" i="14" s="1"/>
  <c r="O127" i="1"/>
  <c r="J104" i="14" s="1"/>
  <c r="N127" i="1"/>
  <c r="I104" i="14" s="1"/>
  <c r="J9" i="2"/>
  <c r="G29" i="1" s="1"/>
  <c r="J12" i="2"/>
  <c r="G32" i="1" s="1"/>
  <c r="O131" i="1"/>
  <c r="J108" i="14" s="1"/>
  <c r="N131" i="1"/>
  <c r="I108" i="14" s="1"/>
  <c r="J17" i="2"/>
  <c r="G37" i="1" s="1"/>
  <c r="J11" i="2"/>
  <c r="G31" i="1" s="1"/>
  <c r="J16" i="2"/>
  <c r="G36" i="1" s="1"/>
  <c r="F132" i="1"/>
  <c r="G132" i="1" s="1"/>
  <c r="J14" i="2"/>
  <c r="G34" i="1" s="1"/>
  <c r="J195" i="1"/>
  <c r="E210" i="14" s="1"/>
  <c r="P195" i="1"/>
  <c r="K172" i="14" s="1"/>
  <c r="I195" i="1"/>
  <c r="D172" i="14" s="1"/>
  <c r="J10" i="2"/>
  <c r="G30" i="1" s="1"/>
  <c r="J15" i="2"/>
  <c r="G35" i="1" s="1"/>
  <c r="I11" i="17"/>
  <c r="I12" i="17" s="1"/>
  <c r="I14" i="17" s="1"/>
  <c r="D11" i="17"/>
  <c r="D12" i="17" s="1"/>
  <c r="D14" i="17" s="1"/>
  <c r="F21" i="17"/>
  <c r="F22" i="17" s="1"/>
  <c r="H21" i="17"/>
  <c r="H22" i="17" s="1"/>
  <c r="H11" i="17"/>
  <c r="H12" i="17" s="1"/>
  <c r="H14" i="17" s="1"/>
  <c r="I21" i="17"/>
  <c r="I22" i="17" s="1"/>
  <c r="D21" i="17"/>
  <c r="D22" i="17" s="1"/>
  <c r="J21" i="17"/>
  <c r="J22" i="17" s="1"/>
  <c r="J11" i="17"/>
  <c r="J12" i="17" s="1"/>
  <c r="J14" i="17" s="1"/>
  <c r="E23" i="17"/>
  <c r="E25" i="17" s="1"/>
  <c r="F11" i="17"/>
  <c r="F12" i="17" s="1"/>
  <c r="F14" i="17" s="1"/>
  <c r="P11" i="18"/>
  <c r="P12" i="18" s="1"/>
  <c r="P16" i="18" s="1"/>
  <c r="G11" i="18"/>
  <c r="G12" i="18" s="1"/>
  <c r="AF11" i="18"/>
  <c r="AF12" i="18" s="1"/>
  <c r="AP11" i="18"/>
  <c r="AP12" i="18" s="1"/>
  <c r="H11" i="18"/>
  <c r="H12" i="18" s="1"/>
  <c r="H16" i="18" s="1"/>
  <c r="AE11" i="18"/>
  <c r="AE12" i="18" s="1"/>
  <c r="V11" i="18"/>
  <c r="V12" i="18" s="1"/>
  <c r="AL11" i="18"/>
  <c r="AL12" i="18" s="1"/>
  <c r="M11" i="18"/>
  <c r="M12" i="18" s="1"/>
  <c r="M16" i="18" s="1"/>
  <c r="T11" i="18"/>
  <c r="T12" i="18" s="1"/>
  <c r="T16" i="18" s="1"/>
  <c r="AJ11" i="18"/>
  <c r="AJ12" i="18" s="1"/>
  <c r="AM11" i="18"/>
  <c r="AM12" i="18" s="1"/>
  <c r="AH11" i="18"/>
  <c r="AH12" i="18" s="1"/>
  <c r="AO11" i="18"/>
  <c r="AO12" i="18" s="1"/>
  <c r="Q11" i="18"/>
  <c r="Q12" i="18" s="1"/>
  <c r="Q16" i="18" s="1"/>
  <c r="F11" i="18"/>
  <c r="F12" i="18" s="1"/>
  <c r="AD11" i="18"/>
  <c r="AD12" i="18" s="1"/>
  <c r="AC11" i="18"/>
  <c r="AC12" i="18" s="1"/>
  <c r="C11" i="18"/>
  <c r="C12" i="18" s="1"/>
  <c r="S11" i="18"/>
  <c r="S12" i="18" s="1"/>
  <c r="S16" i="18" s="1"/>
  <c r="AI11" i="18"/>
  <c r="AI12" i="18" s="1"/>
  <c r="AI16" i="18" s="1"/>
  <c r="AI22" i="18" s="1"/>
  <c r="AI23" i="18" s="1"/>
  <c r="J11" i="18"/>
  <c r="J12" i="18" s="1"/>
  <c r="J16" i="18" s="1"/>
  <c r="AR11" i="18"/>
  <c r="AR12" i="18" s="1"/>
  <c r="AR16" i="18" s="1"/>
  <c r="AR22" i="18" s="1"/>
  <c r="AR23" i="18" s="1"/>
  <c r="Y11" i="18"/>
  <c r="Y12" i="18" s="1"/>
  <c r="R11" i="18"/>
  <c r="R12" i="18" s="1"/>
  <c r="R16" i="18" s="1"/>
  <c r="W11" i="18"/>
  <c r="W12" i="18" s="1"/>
  <c r="Z11" i="18"/>
  <c r="Z12" i="18" s="1"/>
  <c r="AG11" i="18"/>
  <c r="AG12" i="18" s="1"/>
  <c r="AN11" i="18"/>
  <c r="AN12" i="18" s="1"/>
  <c r="E11" i="18"/>
  <c r="E12" i="18" s="1"/>
  <c r="D11" i="18"/>
  <c r="D12" i="18" s="1"/>
  <c r="AB11" i="18"/>
  <c r="AB12" i="18" s="1"/>
  <c r="I11" i="18"/>
  <c r="I12" i="18" s="1"/>
  <c r="I16" i="18" s="1"/>
  <c r="X11" i="18"/>
  <c r="X12" i="18" s="1"/>
  <c r="O11" i="18"/>
  <c r="O12" i="18" s="1"/>
  <c r="O16" i="18" s="1"/>
  <c r="L11" i="18"/>
  <c r="L12" i="18" s="1"/>
  <c r="L16" i="18" s="1"/>
  <c r="N11" i="18"/>
  <c r="N12" i="18" s="1"/>
  <c r="N16" i="18" s="1"/>
  <c r="U11" i="18"/>
  <c r="U12" i="18" s="1"/>
  <c r="U16" i="18" s="1"/>
  <c r="K11" i="18"/>
  <c r="K12" i="18" s="1"/>
  <c r="K16" i="18" s="1"/>
  <c r="AQ11" i="18"/>
  <c r="AQ12" i="18" s="1"/>
  <c r="AQ16" i="18" s="1"/>
  <c r="AQ22" i="18" s="1"/>
  <c r="AQ23" i="18" s="1"/>
  <c r="AK11" i="18"/>
  <c r="AK12" i="18" s="1"/>
  <c r="AA11" i="18"/>
  <c r="AA12" i="18" s="1"/>
  <c r="AK28" i="1" l="1"/>
  <c r="F5" i="14"/>
  <c r="H94" i="8"/>
  <c r="C93" i="1" s="1"/>
  <c r="E93" i="1" s="1"/>
  <c r="C99" i="1"/>
  <c r="E99" i="1" s="1"/>
  <c r="K100" i="8"/>
  <c r="L100" i="8" s="1"/>
  <c r="C98" i="1"/>
  <c r="E98" i="1" s="1"/>
  <c r="K99" i="8"/>
  <c r="L99" i="8" s="1"/>
  <c r="T44" i="15" s="1"/>
  <c r="C97" i="1"/>
  <c r="E97" i="1" s="1"/>
  <c r="K98" i="8"/>
  <c r="L98" i="8" s="1"/>
  <c r="T43" i="15" s="1"/>
  <c r="C95" i="1"/>
  <c r="E95" i="1" s="1"/>
  <c r="K96" i="8"/>
  <c r="L96" i="8" s="1"/>
  <c r="T41" i="15" s="1"/>
  <c r="K97" i="8"/>
  <c r="L97" i="8" s="1"/>
  <c r="T42" i="15" s="1"/>
  <c r="T96" i="1"/>
  <c r="C100" i="1"/>
  <c r="E100" i="1" s="1"/>
  <c r="K101" i="8"/>
  <c r="L101" i="8" s="1"/>
  <c r="T45" i="15" s="1"/>
  <c r="K102" i="8"/>
  <c r="L102" i="8" s="1"/>
  <c r="T46" i="15" s="1"/>
  <c r="C101" i="1"/>
  <c r="E101" i="1" s="1"/>
  <c r="C94" i="1"/>
  <c r="E94" i="1" s="1"/>
  <c r="K95" i="8"/>
  <c r="L95" i="8" s="1"/>
  <c r="T40" i="15" s="1"/>
  <c r="K105" i="8"/>
  <c r="L105" i="8" s="1"/>
  <c r="T49" i="15" s="1"/>
  <c r="C104" i="1"/>
  <c r="E104" i="1" s="1"/>
  <c r="K104" i="8"/>
  <c r="L104" i="8" s="1"/>
  <c r="T48" i="15" s="1"/>
  <c r="C103" i="1"/>
  <c r="E103" i="1" s="1"/>
  <c r="C105" i="1"/>
  <c r="E105" i="1" s="1"/>
  <c r="K106" i="8"/>
  <c r="L106" i="8" s="1"/>
  <c r="T50" i="15" s="1"/>
  <c r="C102" i="1"/>
  <c r="E102" i="1" s="1"/>
  <c r="K103" i="8"/>
  <c r="L103" i="8" s="1"/>
  <c r="T47" i="15" s="1"/>
  <c r="O126" i="1"/>
  <c r="J103" i="14" s="1"/>
  <c r="N125" i="1"/>
  <c r="I102" i="14" s="1"/>
  <c r="K195" i="1"/>
  <c r="AK195" i="1" s="1"/>
  <c r="H195" i="1"/>
  <c r="C172" i="14" s="1"/>
  <c r="C247" i="14"/>
  <c r="N195" i="1"/>
  <c r="I172" i="14" s="1"/>
  <c r="O195" i="1"/>
  <c r="J172" i="14" s="1"/>
  <c r="S55" i="15"/>
  <c r="S195" i="1"/>
  <c r="N172" i="14" s="1"/>
  <c r="L195" i="1"/>
  <c r="G172" i="14" s="1"/>
  <c r="Q195" i="1"/>
  <c r="L172" i="14" s="1"/>
  <c r="AK155" i="1"/>
  <c r="E16" i="18"/>
  <c r="E13" i="18"/>
  <c r="E18" i="18" s="1"/>
  <c r="E19" i="18" s="1"/>
  <c r="G16" i="18"/>
  <c r="G13" i="18"/>
  <c r="G18" i="18" s="1"/>
  <c r="G19" i="18" s="1"/>
  <c r="AK157" i="1"/>
  <c r="F134" i="14"/>
  <c r="D16" i="18"/>
  <c r="D13" i="18"/>
  <c r="D18" i="18" s="1"/>
  <c r="D19" i="18" s="1"/>
  <c r="AK156" i="1"/>
  <c r="F133" i="14"/>
  <c r="C16" i="18"/>
  <c r="C13" i="18"/>
  <c r="C18" i="18" s="1"/>
  <c r="C19" i="18" s="1"/>
  <c r="F48" i="14"/>
  <c r="AK71" i="1"/>
  <c r="AK70" i="1"/>
  <c r="F47" i="14"/>
  <c r="AK69" i="1"/>
  <c r="F46" i="14"/>
  <c r="AK68" i="1"/>
  <c r="F45" i="14"/>
  <c r="F24" i="17"/>
  <c r="F25" i="17" s="1"/>
  <c r="F29" i="17" s="1"/>
  <c r="F30" i="17" s="1"/>
  <c r="F34" i="17" s="1"/>
  <c r="F35" i="17" s="1"/>
  <c r="F38" i="17" s="1"/>
  <c r="F39" i="17" s="1"/>
  <c r="M38" i="1"/>
  <c r="H15" i="14" s="1"/>
  <c r="R31" i="14" s="1"/>
  <c r="O38" i="1"/>
  <c r="J15" i="14" s="1"/>
  <c r="H33" i="1"/>
  <c r="C10" i="14" s="1"/>
  <c r="L33" i="1"/>
  <c r="G10" i="14" s="1"/>
  <c r="I33" i="1"/>
  <c r="D10" i="14" s="1"/>
  <c r="Q33" i="1"/>
  <c r="L10" i="14" s="1"/>
  <c r="K33" i="1"/>
  <c r="F10" i="14" s="1"/>
  <c r="O33" i="1"/>
  <c r="J10" i="14" s="1"/>
  <c r="N33" i="1"/>
  <c r="I10" i="14" s="1"/>
  <c r="S25" i="15"/>
  <c r="S20" i="15"/>
  <c r="I38" i="1"/>
  <c r="D15" i="14" s="1"/>
  <c r="O15" i="14" s="1"/>
  <c r="P15" i="14"/>
  <c r="R38" i="1"/>
  <c r="M15" i="14" s="1"/>
  <c r="J38" i="1"/>
  <c r="E15" i="14" s="1"/>
  <c r="Q38" i="1"/>
  <c r="L15" i="14" s="1"/>
  <c r="L38" i="1"/>
  <c r="G15" i="14" s="1"/>
  <c r="K38" i="1"/>
  <c r="F15" i="14" s="1"/>
  <c r="H38" i="1"/>
  <c r="C15" i="14" s="1"/>
  <c r="N38" i="1"/>
  <c r="I15" i="14" s="1"/>
  <c r="P38" i="1"/>
  <c r="K15" i="14" s="1"/>
  <c r="S38" i="1"/>
  <c r="N15" i="14" s="1"/>
  <c r="K41" i="1"/>
  <c r="F18" i="14" s="1"/>
  <c r="P33" i="1"/>
  <c r="K10" i="14" s="1"/>
  <c r="M33" i="1"/>
  <c r="H10" i="14" s="1"/>
  <c r="R26" i="14" s="1"/>
  <c r="J33" i="1"/>
  <c r="E10" i="14" s="1"/>
  <c r="J41" i="1"/>
  <c r="E18" i="14" s="1"/>
  <c r="O41" i="1"/>
  <c r="J18" i="14" s="1"/>
  <c r="L41" i="1"/>
  <c r="G18" i="14" s="1"/>
  <c r="R41" i="1"/>
  <c r="M18" i="14" s="1"/>
  <c r="H41" i="1"/>
  <c r="C18" i="14" s="1"/>
  <c r="Q41" i="1"/>
  <c r="L18" i="14" s="1"/>
  <c r="M41" i="1"/>
  <c r="H18" i="14" s="1"/>
  <c r="R34" i="14" s="1"/>
  <c r="I41" i="1"/>
  <c r="D18" i="14" s="1"/>
  <c r="S41" i="1"/>
  <c r="N18" i="14" s="1"/>
  <c r="P41" i="1"/>
  <c r="K18" i="14" s="1"/>
  <c r="S52" i="15"/>
  <c r="H132" i="1"/>
  <c r="C109" i="14" s="1"/>
  <c r="K132" i="1"/>
  <c r="J132" i="1"/>
  <c r="E109" i="14" s="1"/>
  <c r="I132" i="1"/>
  <c r="D109" i="14" s="1"/>
  <c r="Q132" i="1"/>
  <c r="L109" i="14" s="1"/>
  <c r="O132" i="1"/>
  <c r="J109" i="14" s="1"/>
  <c r="L132" i="1"/>
  <c r="G109" i="14" s="1"/>
  <c r="S132" i="1"/>
  <c r="P132" i="1"/>
  <c r="K109" i="14" s="1"/>
  <c r="N132" i="1"/>
  <c r="I109" i="14" s="1"/>
  <c r="AB16" i="18"/>
  <c r="AB13" i="18"/>
  <c r="AB18" i="18" s="1"/>
  <c r="AB19" i="18" s="1"/>
  <c r="AG16" i="18"/>
  <c r="AG13" i="18"/>
  <c r="AG18" i="18" s="1"/>
  <c r="AG19" i="18" s="1"/>
  <c r="Y16" i="18"/>
  <c r="Y13" i="18"/>
  <c r="Y18" i="18" s="1"/>
  <c r="Y19" i="18" s="1"/>
  <c r="AM16" i="18"/>
  <c r="AM13" i="18"/>
  <c r="AM18" i="18" s="1"/>
  <c r="AM19" i="18" s="1"/>
  <c r="AL16" i="18"/>
  <c r="AL13" i="18"/>
  <c r="AL18" i="18" s="1"/>
  <c r="AL19" i="18" s="1"/>
  <c r="AP16" i="18"/>
  <c r="AP13" i="18"/>
  <c r="AP18" i="18" s="1"/>
  <c r="AP19" i="18" s="1"/>
  <c r="I36" i="1"/>
  <c r="D13" i="14" s="1"/>
  <c r="J36" i="1"/>
  <c r="E13" i="14" s="1"/>
  <c r="P36" i="1"/>
  <c r="K13" i="14" s="1"/>
  <c r="Q36" i="1"/>
  <c r="L13" i="14" s="1"/>
  <c r="O36" i="1"/>
  <c r="J13" i="14" s="1"/>
  <c r="N36" i="1"/>
  <c r="I13" i="14" s="1"/>
  <c r="R36" i="1"/>
  <c r="M13" i="14" s="1"/>
  <c r="K36" i="1"/>
  <c r="S36" i="1"/>
  <c r="N13" i="14" s="1"/>
  <c r="S23" i="15"/>
  <c r="L36" i="1"/>
  <c r="G13" i="14" s="1"/>
  <c r="M36" i="1"/>
  <c r="H13" i="14" s="1"/>
  <c r="R29" i="14" s="1"/>
  <c r="H36" i="1"/>
  <c r="C13" i="14" s="1"/>
  <c r="Z16" i="18"/>
  <c r="Z13" i="18"/>
  <c r="Z18" i="18" s="1"/>
  <c r="Z19" i="18" s="1"/>
  <c r="AJ16" i="18"/>
  <c r="AJ13" i="18"/>
  <c r="AJ18" i="18" s="1"/>
  <c r="AJ19" i="18" s="1"/>
  <c r="AF16" i="18"/>
  <c r="AF13" i="18"/>
  <c r="AF18" i="18" s="1"/>
  <c r="AF19" i="18" s="1"/>
  <c r="I31" i="1"/>
  <c r="D8" i="14" s="1"/>
  <c r="J31" i="1"/>
  <c r="E8" i="14" s="1"/>
  <c r="S16" i="15"/>
  <c r="N31" i="1"/>
  <c r="I8" i="14" s="1"/>
  <c r="L31" i="1"/>
  <c r="G8" i="14" s="1"/>
  <c r="Q31" i="1"/>
  <c r="L8" i="14" s="1"/>
  <c r="R31" i="1"/>
  <c r="M8" i="14" s="1"/>
  <c r="O31" i="1"/>
  <c r="J8" i="14" s="1"/>
  <c r="M31" i="1"/>
  <c r="H8" i="14" s="1"/>
  <c r="R24" i="14" s="1"/>
  <c r="K31" i="1"/>
  <c r="S31" i="1"/>
  <c r="N8" i="14" s="1"/>
  <c r="P31" i="1"/>
  <c r="K8" i="14" s="1"/>
  <c r="H31" i="1"/>
  <c r="C8" i="14" s="1"/>
  <c r="S18" i="15"/>
  <c r="S17" i="15"/>
  <c r="P32" i="1"/>
  <c r="K9" i="14" s="1"/>
  <c r="S32" i="1"/>
  <c r="N9" i="14" s="1"/>
  <c r="J32" i="1"/>
  <c r="E9" i="14" s="1"/>
  <c r="N32" i="1"/>
  <c r="I9" i="14" s="1"/>
  <c r="H32" i="1"/>
  <c r="C9" i="14" s="1"/>
  <c r="R32" i="1"/>
  <c r="M9" i="14" s="1"/>
  <c r="Q32" i="1"/>
  <c r="L9" i="14" s="1"/>
  <c r="O32" i="1"/>
  <c r="J9" i="14" s="1"/>
  <c r="K32" i="1"/>
  <c r="M32" i="1"/>
  <c r="H9" i="14" s="1"/>
  <c r="R25" i="14" s="1"/>
  <c r="I32" i="1"/>
  <c r="D9" i="14" s="1"/>
  <c r="L32" i="1"/>
  <c r="G9" i="14" s="1"/>
  <c r="F66" i="14"/>
  <c r="AK89" i="1"/>
  <c r="Q30" i="1"/>
  <c r="L7" i="14" s="1"/>
  <c r="L30" i="1"/>
  <c r="G7" i="14" s="1"/>
  <c r="K30" i="1"/>
  <c r="S15" i="15"/>
  <c r="M29" i="1"/>
  <c r="H6" i="14" s="1"/>
  <c r="O29" i="1"/>
  <c r="J6" i="14" s="1"/>
  <c r="H29" i="1"/>
  <c r="C6" i="14" s="1"/>
  <c r="S29" i="1"/>
  <c r="N6" i="14" s="1"/>
  <c r="I29" i="1"/>
  <c r="D6" i="14" s="1"/>
  <c r="L29" i="1"/>
  <c r="G6" i="14" s="1"/>
  <c r="K29" i="1"/>
  <c r="R29" i="1"/>
  <c r="M6" i="14" s="1"/>
  <c r="N29" i="1"/>
  <c r="I6" i="14" s="1"/>
  <c r="J29" i="1"/>
  <c r="E6" i="14" s="1"/>
  <c r="P29" i="1"/>
  <c r="K6" i="14" s="1"/>
  <c r="Q29" i="1"/>
  <c r="L6" i="14" s="1"/>
  <c r="AA16" i="18"/>
  <c r="AA13" i="18"/>
  <c r="AA18" i="18" s="1"/>
  <c r="AA19" i="18" s="1"/>
  <c r="AC16" i="18"/>
  <c r="AC13" i="18"/>
  <c r="AC18" i="18" s="1"/>
  <c r="AC19" i="18" s="1"/>
  <c r="AO16" i="18"/>
  <c r="AO13" i="18"/>
  <c r="AO18" i="18" s="1"/>
  <c r="AO19" i="18" s="1"/>
  <c r="AE16" i="18"/>
  <c r="AE13" i="18"/>
  <c r="AE18" i="18" s="1"/>
  <c r="AE19" i="18" s="1"/>
  <c r="E211" i="14"/>
  <c r="J34" i="1"/>
  <c r="E11" i="14" s="1"/>
  <c r="I34" i="1"/>
  <c r="D11" i="14" s="1"/>
  <c r="S21" i="15"/>
  <c r="N34" i="1"/>
  <c r="I11" i="14" s="1"/>
  <c r="M34" i="1"/>
  <c r="H11" i="14" s="1"/>
  <c r="R27" i="14" s="1"/>
  <c r="R34" i="1"/>
  <c r="M11" i="14" s="1"/>
  <c r="S34" i="1"/>
  <c r="N11" i="14" s="1"/>
  <c r="Q34" i="1"/>
  <c r="L11" i="14" s="1"/>
  <c r="O34" i="1"/>
  <c r="J11" i="14" s="1"/>
  <c r="L34" i="1"/>
  <c r="G11" i="14" s="1"/>
  <c r="P34" i="1"/>
  <c r="K11" i="14" s="1"/>
  <c r="K34" i="1"/>
  <c r="H34" i="1"/>
  <c r="C11" i="14" s="1"/>
  <c r="S13" i="15"/>
  <c r="P37" i="1"/>
  <c r="K14" i="14" s="1"/>
  <c r="Q37" i="1"/>
  <c r="L14" i="14" s="1"/>
  <c r="M37" i="1"/>
  <c r="H14" i="14" s="1"/>
  <c r="R30" i="14" s="1"/>
  <c r="I37" i="1"/>
  <c r="D14" i="14" s="1"/>
  <c r="O37" i="1"/>
  <c r="J14" i="14" s="1"/>
  <c r="K37" i="1"/>
  <c r="L37" i="1"/>
  <c r="G14" i="14" s="1"/>
  <c r="J37" i="1"/>
  <c r="E14" i="14" s="1"/>
  <c r="R37" i="1"/>
  <c r="M14" i="14" s="1"/>
  <c r="H37" i="1"/>
  <c r="C14" i="14" s="1"/>
  <c r="N37" i="1"/>
  <c r="I14" i="14" s="1"/>
  <c r="AK38" i="1"/>
  <c r="AK16" i="18"/>
  <c r="AK13" i="18"/>
  <c r="AK18" i="18" s="1"/>
  <c r="AK19" i="18" s="1"/>
  <c r="AN16" i="18"/>
  <c r="AN13" i="18"/>
  <c r="AN18" i="18" s="1"/>
  <c r="AN19" i="18" s="1"/>
  <c r="AD16" i="18"/>
  <c r="AD13" i="18"/>
  <c r="AD18" i="18" s="1"/>
  <c r="AD19" i="18" s="1"/>
  <c r="AH16" i="18"/>
  <c r="AH13" i="18"/>
  <c r="AH18" i="18" s="1"/>
  <c r="AH19" i="18" s="1"/>
  <c r="I35" i="1"/>
  <c r="D12" i="14" s="1"/>
  <c r="J35" i="1"/>
  <c r="E12" i="14" s="1"/>
  <c r="N35" i="1"/>
  <c r="I12" i="14" s="1"/>
  <c r="K35" i="1"/>
  <c r="S22" i="15"/>
  <c r="M35" i="1"/>
  <c r="H12" i="14" s="1"/>
  <c r="R28" i="14" s="1"/>
  <c r="S35" i="1"/>
  <c r="N12" i="14" s="1"/>
  <c r="Q35" i="1"/>
  <c r="L12" i="14" s="1"/>
  <c r="L35" i="1"/>
  <c r="G12" i="14" s="1"/>
  <c r="R35" i="1"/>
  <c r="M12" i="14" s="1"/>
  <c r="P35" i="1"/>
  <c r="K12" i="14" s="1"/>
  <c r="O35" i="1"/>
  <c r="J12" i="14" s="1"/>
  <c r="H35" i="1"/>
  <c r="C12" i="14" s="1"/>
  <c r="F172" i="14"/>
  <c r="J24" i="17"/>
  <c r="J25" i="17" s="1"/>
  <c r="J29" i="17" s="1"/>
  <c r="J30" i="17" s="1"/>
  <c r="J34" i="17" s="1"/>
  <c r="J35" i="17" s="1"/>
  <c r="J38" i="17" s="1"/>
  <c r="J39" i="17" s="1"/>
  <c r="H24" i="17"/>
  <c r="H25" i="17" s="1"/>
  <c r="H29" i="17" s="1"/>
  <c r="H30" i="17" s="1"/>
  <c r="H34" i="17" s="1"/>
  <c r="H35" i="17" s="1"/>
  <c r="H38" i="17" s="1"/>
  <c r="H39" i="17" s="1"/>
  <c r="S22" i="18"/>
  <c r="S23" i="18" s="1"/>
  <c r="F16" i="18"/>
  <c r="F13" i="18"/>
  <c r="F18" i="18" s="1"/>
  <c r="F19" i="18" s="1"/>
  <c r="V13" i="18"/>
  <c r="V18" i="18" s="1"/>
  <c r="V19" i="18" s="1"/>
  <c r="V16" i="18"/>
  <c r="E29" i="17"/>
  <c r="E30" i="17" s="1"/>
  <c r="E34" i="17" s="1"/>
  <c r="E35" i="17" s="1"/>
  <c r="E38" i="17" s="1"/>
  <c r="E39" i="17" s="1"/>
  <c r="D24" i="17"/>
  <c r="D25" i="17" s="1"/>
  <c r="X13" i="18"/>
  <c r="X18" i="18" s="1"/>
  <c r="X19" i="18" s="1"/>
  <c r="X16" i="18"/>
  <c r="W16" i="18"/>
  <c r="W13" i="18"/>
  <c r="W18" i="18" s="1"/>
  <c r="W19" i="18" s="1"/>
  <c r="I24" i="17"/>
  <c r="I25" i="17" s="1"/>
  <c r="T93" i="1" l="1"/>
  <c r="K94" i="8"/>
  <c r="L94" i="8" s="1"/>
  <c r="T39" i="15" s="1"/>
  <c r="H98" i="1"/>
  <c r="C75" i="14" s="1"/>
  <c r="T98" i="1"/>
  <c r="N98" i="1"/>
  <c r="I75" i="14" s="1"/>
  <c r="I98" i="1"/>
  <c r="D75" i="14" s="1"/>
  <c r="G98" i="1"/>
  <c r="S44" i="15" s="1"/>
  <c r="J98" i="1"/>
  <c r="E75" i="14" s="1"/>
  <c r="L98" i="1"/>
  <c r="G75" i="14" s="1"/>
  <c r="P98" i="1"/>
  <c r="K75" i="14" s="1"/>
  <c r="Q98" i="1"/>
  <c r="L75" i="14" s="1"/>
  <c r="K98" i="1"/>
  <c r="N97" i="1"/>
  <c r="I74" i="14" s="1"/>
  <c r="T97" i="1"/>
  <c r="L97" i="1"/>
  <c r="G74" i="14" s="1"/>
  <c r="I97" i="1"/>
  <c r="D74" i="14" s="1"/>
  <c r="K97" i="1"/>
  <c r="G97" i="1"/>
  <c r="S43" i="15" s="1"/>
  <c r="P97" i="1"/>
  <c r="K74" i="14" s="1"/>
  <c r="Q97" i="1"/>
  <c r="L74" i="14" s="1"/>
  <c r="J97" i="1"/>
  <c r="E74" i="14" s="1"/>
  <c r="H97" i="1"/>
  <c r="C74" i="14" s="1"/>
  <c r="K99" i="1"/>
  <c r="I99" i="1"/>
  <c r="D76" i="14" s="1"/>
  <c r="L99" i="1"/>
  <c r="G76" i="14" s="1"/>
  <c r="T99" i="1"/>
  <c r="Q99" i="1"/>
  <c r="L76" i="14" s="1"/>
  <c r="H99" i="1"/>
  <c r="C76" i="14" s="1"/>
  <c r="J99" i="1"/>
  <c r="E76" i="14" s="1"/>
  <c r="G99" i="1"/>
  <c r="P99" i="1"/>
  <c r="K76" i="14" s="1"/>
  <c r="N99" i="1"/>
  <c r="I76" i="14" s="1"/>
  <c r="G96" i="1"/>
  <c r="P96" i="1" s="1"/>
  <c r="K73" i="14" s="1"/>
  <c r="T95" i="1"/>
  <c r="G95" i="1"/>
  <c r="T104" i="1"/>
  <c r="T102" i="1"/>
  <c r="T103" i="1"/>
  <c r="T101" i="1"/>
  <c r="T94" i="1"/>
  <c r="T100" i="1"/>
  <c r="G100" i="1"/>
  <c r="G105" i="1"/>
  <c r="S50" i="15" s="1"/>
  <c r="T105" i="1"/>
  <c r="C22" i="18"/>
  <c r="C23" i="18" s="1"/>
  <c r="AK33" i="1"/>
  <c r="AK41" i="1"/>
  <c r="J213" i="14"/>
  <c r="J215" i="14" s="1"/>
  <c r="I218" i="14" s="1"/>
  <c r="AJ22" i="18"/>
  <c r="AJ23" i="18" s="1"/>
  <c r="Y22" i="18"/>
  <c r="Y23" i="18" s="1"/>
  <c r="F14" i="14"/>
  <c r="AK37" i="1"/>
  <c r="AK34" i="1"/>
  <c r="F11" i="14"/>
  <c r="F12" i="14"/>
  <c r="AK35" i="1"/>
  <c r="H213" i="14"/>
  <c r="H215" i="14" s="1"/>
  <c r="R22" i="14"/>
  <c r="R35" i="14" s="1"/>
  <c r="S35" i="14" s="1"/>
  <c r="F9" i="14"/>
  <c r="AK32" i="1"/>
  <c r="AK36" i="1"/>
  <c r="F13" i="14"/>
  <c r="M213" i="14"/>
  <c r="M215" i="14" s="1"/>
  <c r="N213" i="14"/>
  <c r="N215" i="14" s="1"/>
  <c r="F109" i="14"/>
  <c r="AK132" i="1"/>
  <c r="F6" i="14"/>
  <c r="AK29" i="1"/>
  <c r="F7" i="14"/>
  <c r="AK30" i="1"/>
  <c r="AK31" i="1"/>
  <c r="F8" i="14"/>
  <c r="I29" i="17"/>
  <c r="I30" i="17" s="1"/>
  <c r="I34" i="17" s="1"/>
  <c r="I35" i="17" s="1"/>
  <c r="I38" i="17" s="1"/>
  <c r="I39" i="17" s="1"/>
  <c r="D29" i="17"/>
  <c r="D30" i="17" s="1"/>
  <c r="D34" i="17" s="1"/>
  <c r="D35" i="17" s="1"/>
  <c r="D38" i="17" s="1"/>
  <c r="G93" i="1" l="1"/>
  <c r="K93" i="1" s="1"/>
  <c r="F70" i="14" s="1"/>
  <c r="N96" i="1"/>
  <c r="I73" i="14" s="1"/>
  <c r="Q96" i="1"/>
  <c r="L73" i="14" s="1"/>
  <c r="F76" i="14"/>
  <c r="AK99" i="1"/>
  <c r="F75" i="14"/>
  <c r="AK98" i="1"/>
  <c r="F74" i="14"/>
  <c r="AK97" i="1"/>
  <c r="G101" i="1"/>
  <c r="J101" i="1" s="1"/>
  <c r="E78" i="14" s="1"/>
  <c r="L96" i="1"/>
  <c r="G73" i="14" s="1"/>
  <c r="J96" i="1"/>
  <c r="E73" i="14" s="1"/>
  <c r="H96" i="1"/>
  <c r="C73" i="14" s="1"/>
  <c r="S42" i="15"/>
  <c r="I96" i="1"/>
  <c r="D73" i="14" s="1"/>
  <c r="K96" i="1"/>
  <c r="F73" i="14" s="1"/>
  <c r="J95" i="1"/>
  <c r="E72" i="14" s="1"/>
  <c r="I95" i="1"/>
  <c r="D72" i="14" s="1"/>
  <c r="L95" i="1"/>
  <c r="G72" i="14" s="1"/>
  <c r="K95" i="1"/>
  <c r="S41" i="15"/>
  <c r="P95" i="1"/>
  <c r="K72" i="14" s="1"/>
  <c r="H95" i="1"/>
  <c r="C72" i="14" s="1"/>
  <c r="N95" i="1"/>
  <c r="I72" i="14" s="1"/>
  <c r="Q95" i="1"/>
  <c r="L72" i="14" s="1"/>
  <c r="G94" i="1"/>
  <c r="S40" i="15" s="1"/>
  <c r="G104" i="1"/>
  <c r="I104" i="1" s="1"/>
  <c r="D81" i="14" s="1"/>
  <c r="G103" i="1"/>
  <c r="S48" i="15" s="1"/>
  <c r="G102" i="1"/>
  <c r="I102" i="1" s="1"/>
  <c r="D79" i="14" s="1"/>
  <c r="S46" i="15"/>
  <c r="L105" i="1"/>
  <c r="G82" i="14" s="1"/>
  <c r="S45" i="15"/>
  <c r="H100" i="1"/>
  <c r="C77" i="14" s="1"/>
  <c r="P100" i="1"/>
  <c r="K77" i="14" s="1"/>
  <c r="I100" i="1"/>
  <c r="D77" i="14" s="1"/>
  <c r="K100" i="1"/>
  <c r="N100" i="1"/>
  <c r="I77" i="14" s="1"/>
  <c r="J100" i="1"/>
  <c r="E77" i="14" s="1"/>
  <c r="Q100" i="1"/>
  <c r="L77" i="14" s="1"/>
  <c r="L100" i="1"/>
  <c r="G77" i="14" s="1"/>
  <c r="AJ244" i="1"/>
  <c r="T17" i="1"/>
  <c r="Q234" i="1" s="1"/>
  <c r="P105" i="1"/>
  <c r="K82" i="14" s="1"/>
  <c r="K105" i="1"/>
  <c r="J105" i="1"/>
  <c r="E82" i="14" s="1"/>
  <c r="I105" i="1"/>
  <c r="D82" i="14" s="1"/>
  <c r="H105" i="1"/>
  <c r="C82" i="14" s="1"/>
  <c r="N105" i="1"/>
  <c r="I82" i="14" s="1"/>
  <c r="Q105" i="1"/>
  <c r="L82" i="14" s="1"/>
  <c r="I227" i="14"/>
  <c r="L244" i="1" s="1"/>
  <c r="B60" i="15" s="1"/>
  <c r="H60" i="15" s="1"/>
  <c r="B25" i="18"/>
  <c r="B26" i="18" s="1"/>
  <c r="B29" i="18" s="1"/>
  <c r="D39" i="17"/>
  <c r="C42" i="17"/>
  <c r="C43" i="17" s="1"/>
  <c r="B30" i="18" s="1"/>
  <c r="AK93" i="1" l="1"/>
  <c r="Q93" i="1"/>
  <c r="L70" i="14" s="1"/>
  <c r="N93" i="1"/>
  <c r="I70" i="14" s="1"/>
  <c r="S39" i="15"/>
  <c r="P93" i="1"/>
  <c r="K70" i="14" s="1"/>
  <c r="J93" i="1"/>
  <c r="E70" i="14" s="1"/>
  <c r="L93" i="1"/>
  <c r="G70" i="14" s="1"/>
  <c r="I93" i="1"/>
  <c r="D70" i="14" s="1"/>
  <c r="H93" i="1"/>
  <c r="C70" i="14" s="1"/>
  <c r="H94" i="1"/>
  <c r="C71" i="14" s="1"/>
  <c r="AK96" i="1"/>
  <c r="I101" i="1"/>
  <c r="D78" i="14" s="1"/>
  <c r="N94" i="1"/>
  <c r="I71" i="14" s="1"/>
  <c r="L101" i="1"/>
  <c r="G78" i="14" s="1"/>
  <c r="P101" i="1"/>
  <c r="K78" i="14" s="1"/>
  <c r="J94" i="1"/>
  <c r="E71" i="14" s="1"/>
  <c r="H101" i="1"/>
  <c r="C78" i="14" s="1"/>
  <c r="K101" i="1"/>
  <c r="F78" i="14" s="1"/>
  <c r="N101" i="1"/>
  <c r="I78" i="14" s="1"/>
  <c r="P103" i="1"/>
  <c r="K80" i="14" s="1"/>
  <c r="H102" i="1"/>
  <c r="C79" i="14" s="1"/>
  <c r="K103" i="1"/>
  <c r="AK103" i="1" s="1"/>
  <c r="I94" i="1"/>
  <c r="D71" i="14" s="1"/>
  <c r="Q101" i="1"/>
  <c r="L78" i="14" s="1"/>
  <c r="L102" i="1"/>
  <c r="G79" i="14" s="1"/>
  <c r="S47" i="15"/>
  <c r="N102" i="1"/>
  <c r="I79" i="14" s="1"/>
  <c r="J102" i="1"/>
  <c r="E79" i="14" s="1"/>
  <c r="Q102" i="1"/>
  <c r="L79" i="14" s="1"/>
  <c r="P94" i="1"/>
  <c r="K71" i="14" s="1"/>
  <c r="Q94" i="1"/>
  <c r="L71" i="14" s="1"/>
  <c r="K94" i="1"/>
  <c r="AK94" i="1" s="1"/>
  <c r="K102" i="1"/>
  <c r="F79" i="14" s="1"/>
  <c r="K104" i="1"/>
  <c r="AK104" i="1" s="1"/>
  <c r="N103" i="1"/>
  <c r="I80" i="14" s="1"/>
  <c r="L104" i="1"/>
  <c r="G81" i="14" s="1"/>
  <c r="L94" i="1"/>
  <c r="G71" i="14" s="1"/>
  <c r="H103" i="1"/>
  <c r="C80" i="14" s="1"/>
  <c r="J104" i="1"/>
  <c r="E81" i="14" s="1"/>
  <c r="N104" i="1"/>
  <c r="I81" i="14" s="1"/>
  <c r="S49" i="15"/>
  <c r="Q104" i="1"/>
  <c r="L81" i="14" s="1"/>
  <c r="P104" i="1"/>
  <c r="K81" i="14" s="1"/>
  <c r="H104" i="1"/>
  <c r="C81" i="14" s="1"/>
  <c r="F72" i="14"/>
  <c r="AK95" i="1"/>
  <c r="P102" i="1"/>
  <c r="K79" i="14" s="1"/>
  <c r="J103" i="1"/>
  <c r="E80" i="14" s="1"/>
  <c r="L103" i="1"/>
  <c r="G80" i="14" s="1"/>
  <c r="I103" i="1"/>
  <c r="D80" i="14" s="1"/>
  <c r="Q103" i="1"/>
  <c r="L80" i="14" s="1"/>
  <c r="F82" i="14"/>
  <c r="AK105" i="1"/>
  <c r="F77" i="14"/>
  <c r="AK100" i="1"/>
  <c r="B31" i="18"/>
  <c r="L245" i="1" s="1"/>
  <c r="AK101" i="1" l="1"/>
  <c r="F71" i="14"/>
  <c r="F80" i="14"/>
  <c r="D213" i="14"/>
  <c r="D215" i="14" s="1"/>
  <c r="B217" i="14" s="1"/>
  <c r="AK102" i="1"/>
  <c r="AK27" i="1" s="1"/>
  <c r="F81" i="14"/>
  <c r="G213" i="14"/>
  <c r="G215" i="14" s="1"/>
  <c r="E213" i="14"/>
  <c r="E215" i="14" s="1"/>
  <c r="I220" i="14" s="1"/>
  <c r="C213" i="14"/>
  <c r="C215" i="14" s="1"/>
  <c r="B216" i="14" s="1"/>
  <c r="K213" i="14"/>
  <c r="K215" i="14" s="1"/>
  <c r="I219" i="14" s="1"/>
  <c r="I213" i="14"/>
  <c r="I215" i="14" s="1"/>
  <c r="I217" i="14" s="1"/>
  <c r="L213" i="14"/>
  <c r="B62" i="15" s="1"/>
  <c r="H62" i="15" s="1"/>
  <c r="E214" i="14"/>
  <c r="D214" i="14"/>
  <c r="F213" i="14" l="1"/>
  <c r="B61" i="15" s="1"/>
  <c r="H61" i="15" s="1"/>
  <c r="B227" i="14"/>
  <c r="B218" i="14"/>
  <c r="B220" i="14"/>
  <c r="K231" i="14"/>
  <c r="O223" i="14" s="1"/>
  <c r="F223" i="14"/>
  <c r="B225" i="14" s="1"/>
  <c r="L241" i="1" s="1"/>
  <c r="AL241" i="1" s="1"/>
  <c r="L215" i="14"/>
  <c r="I223" i="14" l="1"/>
  <c r="F215" i="14"/>
  <c r="B219" i="14" s="1"/>
  <c r="B223" i="14"/>
  <c r="C223" i="14"/>
  <c r="L239" i="1" s="1"/>
  <c r="AL239" i="1" s="1"/>
  <c r="AL243" i="1" s="1"/>
  <c r="L223" i="14"/>
  <c r="L240" i="1" l="1"/>
  <c r="AL240" i="1" s="1"/>
  <c r="L243" i="1"/>
  <c r="B59" i="15" s="1"/>
  <c r="H59" i="15" s="1"/>
  <c r="L242" i="1" l="1"/>
  <c r="AL242" i="1" s="1"/>
</calcChain>
</file>

<file path=xl/sharedStrings.xml><?xml version="1.0" encoding="utf-8"?>
<sst xmlns="http://schemas.openxmlformats.org/spreadsheetml/2006/main" count="2502" uniqueCount="658">
  <si>
    <t>stof</t>
  </si>
  <si>
    <t>meting 1</t>
  </si>
  <si>
    <t>meting 2</t>
  </si>
  <si>
    <t>toets wonen</t>
  </si>
  <si>
    <t>toets industrie</t>
  </si>
  <si>
    <t>mg/kgds</t>
  </si>
  <si>
    <t>projectnaam</t>
  </si>
  <si>
    <t>projectnummer</t>
  </si>
  <si>
    <t>metalen</t>
  </si>
  <si>
    <t>antimoon (Sb)</t>
  </si>
  <si>
    <t>arseen (As)</t>
  </si>
  <si>
    <t>barium (Ba)</t>
  </si>
  <si>
    <t>cadmium (Cd)</t>
  </si>
  <si>
    <t>kobalt (Co)</t>
  </si>
  <si>
    <t>koper (Cu)</t>
  </si>
  <si>
    <t>kwik (Hg)</t>
  </si>
  <si>
    <t>lood (Pb)</t>
  </si>
  <si>
    <t>molybdeen (Mo)</t>
  </si>
  <si>
    <t>nikkel (Ni)</t>
  </si>
  <si>
    <t>tin (Sn)</t>
  </si>
  <si>
    <t>vanadium (V)</t>
  </si>
  <si>
    <t>zink (Zn)</t>
  </si>
  <si>
    <t>overige anorganische stoffen</t>
  </si>
  <si>
    <t>chloride</t>
  </si>
  <si>
    <t>cyanide-vrij</t>
  </si>
  <si>
    <t>cyanide-complex</t>
  </si>
  <si>
    <t>fluoride</t>
  </si>
  <si>
    <t>thiocyanaten (som)</t>
  </si>
  <si>
    <t>sulfaat</t>
  </si>
  <si>
    <t>aromatische stoffen</t>
  </si>
  <si>
    <t>benzeen</t>
  </si>
  <si>
    <t>ethylbenzeen</t>
  </si>
  <si>
    <t>tolueen</t>
  </si>
  <si>
    <t>xylenen (som)</t>
  </si>
  <si>
    <t>styreen</t>
  </si>
  <si>
    <t>fenol</t>
  </si>
  <si>
    <t>cresolen (som o-, p- en m-)</t>
  </si>
  <si>
    <t>dodecylbenzeen</t>
  </si>
  <si>
    <t>aromatische oplosmiddelen</t>
  </si>
  <si>
    <t>polycyclische aromaten (PAK)</t>
  </si>
  <si>
    <t>naftaleen</t>
  </si>
  <si>
    <t>fenantreen</t>
  </si>
  <si>
    <t>antraceen</t>
  </si>
  <si>
    <t>fluorantheen</t>
  </si>
  <si>
    <t>chryseen</t>
  </si>
  <si>
    <t>benzo(a)antraceen</t>
  </si>
  <si>
    <t>benzo(a)pyreen</t>
  </si>
  <si>
    <t>benzo(k)fluorantheen</t>
  </si>
  <si>
    <t>indeno(1,2,3cd)pyreen</t>
  </si>
  <si>
    <t>benzo(ghi)peryleen</t>
  </si>
  <si>
    <t>PAK som 10</t>
  </si>
  <si>
    <t>vinylchloride (monochlooretheen)</t>
  </si>
  <si>
    <t>dichloormethaan</t>
  </si>
  <si>
    <t>1,1-dichlooretheen</t>
  </si>
  <si>
    <t>1,1-dichloorethaan</t>
  </si>
  <si>
    <t>1,2-dichloorethaan</t>
  </si>
  <si>
    <t>1,2-dichlooretheen (som cis en trans)</t>
  </si>
  <si>
    <t>dichloorpropanen</t>
  </si>
  <si>
    <t>trichloormethaan (chloroform)</t>
  </si>
  <si>
    <t>1,1,1-trichloorethaan</t>
  </si>
  <si>
    <t>1,1,2-trichloorethaan</t>
  </si>
  <si>
    <t>trichlooretheen (tri)</t>
  </si>
  <si>
    <t>tetrachloormethaan (tetra)</t>
  </si>
  <si>
    <t>tetrachlooretheen (per)</t>
  </si>
  <si>
    <t>gechloreerde koolwaterstoffen</t>
  </si>
  <si>
    <t>a</t>
  </si>
  <si>
    <t>vluchtige gechloreede koolwaterstoffen</t>
  </si>
  <si>
    <t>b</t>
  </si>
  <si>
    <t>trichloorbenzenen</t>
  </si>
  <si>
    <t>pentachloorbenzeen</t>
  </si>
  <si>
    <t>chloorbenzenen som</t>
  </si>
  <si>
    <t>chloorfenolen</t>
  </si>
  <si>
    <t>c</t>
  </si>
  <si>
    <t>trichloorfenolen</t>
  </si>
  <si>
    <t>tetrachloorfenolen</t>
  </si>
  <si>
    <t>pentachloorfenol</t>
  </si>
  <si>
    <t>d</t>
  </si>
  <si>
    <t>PCB's</t>
  </si>
  <si>
    <t>chloorbenzenen</t>
  </si>
  <si>
    <t>PCB 28</t>
  </si>
  <si>
    <t>PCB 52</t>
  </si>
  <si>
    <t>PCB 153</t>
  </si>
  <si>
    <t>PCB 180</t>
  </si>
  <si>
    <t>som PCB's 7</t>
  </si>
  <si>
    <t>PCB 118</t>
  </si>
  <si>
    <t>PCB 101</t>
  </si>
  <si>
    <t>e</t>
  </si>
  <si>
    <t>overige chloorkoolwaterstoffen</t>
  </si>
  <si>
    <t>pentachlooraniline</t>
  </si>
  <si>
    <t>dioxine som I-TEQ</t>
  </si>
  <si>
    <t>chloornaftaleen som alfa &amp; beta</t>
  </si>
  <si>
    <t>organochloorbestrijdingsmiddelen</t>
  </si>
  <si>
    <t>DDT</t>
  </si>
  <si>
    <t>DDE</t>
  </si>
  <si>
    <t>DDD</t>
  </si>
  <si>
    <t>DDT/DDE/DDD-som</t>
  </si>
  <si>
    <t>dieldrin</t>
  </si>
  <si>
    <t>endrin</t>
  </si>
  <si>
    <t>isodrin</t>
  </si>
  <si>
    <t>telodrin</t>
  </si>
  <si>
    <t>alfa-endosulfaat</t>
  </si>
  <si>
    <t>alfa-endosulfan</t>
  </si>
  <si>
    <t>alfa HCH</t>
  </si>
  <si>
    <t>beta HCH</t>
  </si>
  <si>
    <t>delta HCH</t>
  </si>
  <si>
    <t>gamma HCH (lindaan)</t>
  </si>
  <si>
    <t>HCH-som (alfa..delta)</t>
  </si>
  <si>
    <t>heptachloor</t>
  </si>
  <si>
    <t>heptachloorepoxide-som</t>
  </si>
  <si>
    <t>hexachloorbutadieen</t>
  </si>
  <si>
    <t>OCB-som</t>
  </si>
  <si>
    <t>bestrijdingsmiddelen</t>
  </si>
  <si>
    <t>organofosfor bestrijdingsmiddelen</t>
  </si>
  <si>
    <t>organotin bestrijdingsmiddelen</t>
  </si>
  <si>
    <t>organotinverbindingen</t>
  </si>
  <si>
    <t>tributyltin TBT</t>
  </si>
  <si>
    <t>chloorfenoxyazijnzuur herbiciden</t>
  </si>
  <si>
    <t>MCPA</t>
  </si>
  <si>
    <t>overige bestrijdingsmiddelen</t>
  </si>
  <si>
    <t>atrazine</t>
  </si>
  <si>
    <t>carbaryl</t>
  </si>
  <si>
    <t>carbofuran</t>
  </si>
  <si>
    <t>4-chloormethylfenolen</t>
  </si>
  <si>
    <t>overige stoffen</t>
  </si>
  <si>
    <t>asbest</t>
  </si>
  <si>
    <t>cyclohexanon</t>
  </si>
  <si>
    <t>dimethylftalaat</t>
  </si>
  <si>
    <t>diethylftalaat</t>
  </si>
  <si>
    <t>di-isobutylftalaat</t>
  </si>
  <si>
    <t>dibutylftalaat</t>
  </si>
  <si>
    <t>butylbenzylftalaat</t>
  </si>
  <si>
    <t>dihexylftalaat</t>
  </si>
  <si>
    <t>di(2-ethylhexyl)ftalaat</t>
  </si>
  <si>
    <t>minerale olie</t>
  </si>
  <si>
    <t>pyridine</t>
  </si>
  <si>
    <t>tetrahydrofuran</t>
  </si>
  <si>
    <t>tetrahydrothiofeen</t>
  </si>
  <si>
    <t>tribroommethaan (bromoform)</t>
  </si>
  <si>
    <t>ethyleenglycol</t>
  </si>
  <si>
    <t>acrylonitril</t>
  </si>
  <si>
    <t>formaldehyde</t>
  </si>
  <si>
    <t>isopropanol (2-propanol)</t>
  </si>
  <si>
    <t>methanol</t>
  </si>
  <si>
    <t>butanol (1-butanol)</t>
  </si>
  <si>
    <t>butylacetaat</t>
  </si>
  <si>
    <t>ethylacetaat</t>
  </si>
  <si>
    <t>methyl-tert-butylether (MTBE)</t>
  </si>
  <si>
    <t>methylethylketon</t>
  </si>
  <si>
    <t>Normen</t>
  </si>
  <si>
    <t>wonen</t>
  </si>
  <si>
    <t>industrie</t>
  </si>
  <si>
    <t>fysische bepalingen</t>
  </si>
  <si>
    <t>monstergewicht [kg]</t>
  </si>
  <si>
    <t>artefacten [g]</t>
  </si>
  <si>
    <t>droge stof [%]</t>
  </si>
  <si>
    <t>organische stof [% ds]</t>
  </si>
  <si>
    <t>lutum, &lt;2 µm [% ds]</t>
  </si>
  <si>
    <t>fractie &lt;63 µm [% ds]</t>
  </si>
  <si>
    <t>fractie &lt; 2 mm [% ds]</t>
  </si>
  <si>
    <t>emissietoets lanbodem</t>
  </si>
  <si>
    <t>onderwatertoepassing B</t>
  </si>
  <si>
    <t>emissietoets waterbodem</t>
  </si>
  <si>
    <t>toets Emissie waterbodem</t>
  </si>
  <si>
    <t>chroom (Cr)</t>
  </si>
  <si>
    <t>toets Emissie landbodem</t>
  </si>
  <si>
    <t>interventiewaarde waterbodem</t>
  </si>
  <si>
    <t>toets interventiewaarde waterbodem</t>
  </si>
  <si>
    <t>interventiewaarde landbodem</t>
  </si>
  <si>
    <t>uitloogbaarheid</t>
  </si>
  <si>
    <t>w</t>
  </si>
  <si>
    <t>A</t>
  </si>
  <si>
    <t>B</t>
  </si>
  <si>
    <t>i-wabo</t>
  </si>
  <si>
    <t>i-labo</t>
  </si>
  <si>
    <t>E-labo</t>
  </si>
  <si>
    <t>E-wabo</t>
  </si>
  <si>
    <t>azinfos-methyl</t>
  </si>
  <si>
    <t>diethyleenglycol</t>
  </si>
  <si>
    <t>tetrachloorbenzenen</t>
  </si>
  <si>
    <t>chloorfenolen-som</t>
  </si>
  <si>
    <t>PCB 138</t>
  </si>
  <si>
    <t>aldrin</t>
  </si>
  <si>
    <t>verspreidbare specie in zout water</t>
  </si>
  <si>
    <t>onderwatertoepassing A en verspreiden zoet water</t>
  </si>
  <si>
    <t>verspreiden in zout water</t>
  </si>
  <si>
    <t>zout</t>
  </si>
  <si>
    <t>hexachloorbenzeen</t>
  </si>
  <si>
    <t>Waddenzee + Delta TBT als mg Sn/kgds</t>
  </si>
  <si>
    <t>C</t>
  </si>
  <si>
    <t>berylium (Be)</t>
  </si>
  <si>
    <t>thallium (Th)</t>
  </si>
  <si>
    <t>organische verbindingen</t>
  </si>
  <si>
    <t>lutum gemeten %</t>
  </si>
  <si>
    <t>org. Stof gemeten %</t>
  </si>
  <si>
    <t>in mg/kgds</t>
  </si>
  <si>
    <t>org. Stof voor PAK</t>
  </si>
  <si>
    <t>som niet chloorhoudende pesticiden</t>
  </si>
  <si>
    <t>Noordzeekust als mg Sn/kgds</t>
  </si>
  <si>
    <t>aw</t>
  </si>
  <si>
    <t>As</t>
  </si>
  <si>
    <t>Cd</t>
  </si>
  <si>
    <t>Cr</t>
  </si>
  <si>
    <t>Cu</t>
  </si>
  <si>
    <t>Hg</t>
  </si>
  <si>
    <t>Ni</t>
  </si>
  <si>
    <t>Pb</t>
  </si>
  <si>
    <t>Zn</t>
  </si>
  <si>
    <t>n</t>
  </si>
  <si>
    <t>pH</t>
  </si>
  <si>
    <t>monochloorbenzeen</t>
  </si>
  <si>
    <t>dichloorbenzenen</t>
  </si>
  <si>
    <t>monochloorfenolen</t>
  </si>
  <si>
    <t>dichloorfenolen</t>
  </si>
  <si>
    <t>monochlooranilinen</t>
  </si>
  <si>
    <t>chloordanen</t>
  </si>
  <si>
    <t>achtergrondwaarden landbodem en waterbodem</t>
  </si>
  <si>
    <t>ftalaten som</t>
  </si>
  <si>
    <t>achtegrondwaarde waterbodem</t>
  </si>
  <si>
    <t>toets achtergrond landbodem</t>
  </si>
  <si>
    <t>toets AW waterbodem</t>
  </si>
  <si>
    <t>o</t>
  </si>
  <si>
    <t>X</t>
  </si>
  <si>
    <t xml:space="preserve"> - </t>
  </si>
  <si>
    <t xml:space="preserve"> o</t>
  </si>
  <si>
    <t>: gehalte overschrijdt de norm</t>
  </si>
  <si>
    <t>: gehalte is lager dan de norm</t>
  </si>
  <si>
    <t>: er geldt geen norm</t>
  </si>
  <si>
    <t>In</t>
  </si>
  <si>
    <t>Wo</t>
  </si>
  <si>
    <t>Aw</t>
  </si>
  <si>
    <t>Aw s</t>
  </si>
  <si>
    <t>i wb</t>
  </si>
  <si>
    <t>i lb</t>
  </si>
  <si>
    <t>E wb</t>
  </si>
  <si>
    <t>E lb</t>
  </si>
  <si>
    <t>lutum voor barium slib</t>
  </si>
  <si>
    <t>toets waterbodem A</t>
  </si>
  <si>
    <t>toets waterbodem B</t>
  </si>
  <si>
    <t>toets verspreidbaar in zout water</t>
  </si>
  <si>
    <t>fractie &lt; 16 mm</t>
  </si>
  <si>
    <t xml:space="preserve">MEETWAARDEN DOOR LAB </t>
  </si>
  <si>
    <t>WAARDEN VOOR BEREKENINGEN</t>
  </si>
  <si>
    <t>bromide emissie</t>
  </si>
  <si>
    <t>fluoride emissie</t>
  </si>
  <si>
    <t>chloride emissie</t>
  </si>
  <si>
    <t>sulfaat emissie</t>
  </si>
  <si>
    <t>totaal cyanide emissie</t>
  </si>
  <si>
    <t>vrij cyanide emissie</t>
  </si>
  <si>
    <t>optionele metingen</t>
  </si>
  <si>
    <t>optionele meting in % ds</t>
  </si>
  <si>
    <t>optionele stof in mg/kgds</t>
  </si>
  <si>
    <t>Mo</t>
  </si>
  <si>
    <t>uitloogbaarheid mg/kgds of mg/m2</t>
  </si>
  <si>
    <t>projectnummer:</t>
  </si>
  <si>
    <t>monster/partij code</t>
  </si>
  <si>
    <t>drins-som aldr+dieldr+endr+isodr+teldr</t>
  </si>
  <si>
    <t>2x</t>
  </si>
  <si>
    <t>Noordzeekust TBT als mg Sn/kgds</t>
  </si>
  <si>
    <t>gemidd</t>
  </si>
  <si>
    <t>seleen (Se)</t>
  </si>
  <si>
    <t>norm voor indeling kwaliteitsklasse wonen en &lt;AW+wonen/industrie</t>
  </si>
  <si>
    <t>@</t>
  </si>
  <si>
    <t>met dit filter zijn alleen velden met waarden af te drukken</t>
  </si>
  <si>
    <t xml:space="preserve">thiocyanaten </t>
  </si>
  <si>
    <t>dichloorpropanen (som)</t>
  </si>
  <si>
    <t>1/2(s+i)</t>
  </si>
  <si>
    <t>AW+W</t>
  </si>
  <si>
    <t>T</t>
  </si>
  <si>
    <t>Gemak voor handmatige invoer   1: grond, 2: extra voor slib</t>
  </si>
  <si>
    <t>te gebruiken waarden bij metalen</t>
  </si>
  <si>
    <t>nvt</t>
  </si>
  <si>
    <t>verhouding hoogste/laagste meetwaarde</t>
  </si>
  <si>
    <t>H/L</t>
  </si>
  <si>
    <t>Nieuwe interventiewaarde landbodem</t>
  </si>
  <si>
    <t xml:space="preserve">toets nieuwe interventiewaarde lanbodem </t>
  </si>
  <si>
    <t>toets Tussenwaarde WBB (1/2(aw+i)</t>
  </si>
  <si>
    <t>1/2(aw+i) landbodem</t>
  </si>
  <si>
    <t>1/2(aw+i)</t>
  </si>
  <si>
    <t>grond</t>
  </si>
  <si>
    <t>ind</t>
  </si>
  <si>
    <t>vinylchloride</t>
  </si>
  <si>
    <t>chloorbenzenen-som</t>
  </si>
  <si>
    <t>: &gt;2xAW voor toetsing aan tabel 1 bijlage B, RBK</t>
  </si>
  <si>
    <t>drins-som aldrin+dieldrin+endrin</t>
  </si>
  <si>
    <t>lutum voor Ba-correctie:</t>
  </si>
  <si>
    <t>projectnaam:</t>
  </si>
  <si>
    <t>grondsoort</t>
  </si>
  <si>
    <t>zand</t>
  </si>
  <si>
    <t>klei</t>
  </si>
  <si>
    <t>veen</t>
  </si>
  <si>
    <t>zandige grond</t>
  </si>
  <si>
    <t>kleiige grond</t>
  </si>
  <si>
    <t>venige grond</t>
  </si>
  <si>
    <t>thermisch gereinigde grond</t>
  </si>
  <si>
    <t>zand uit slib</t>
  </si>
  <si>
    <t>en therm.gereinigde grond</t>
  </si>
  <si>
    <t>slibresidu</t>
  </si>
  <si>
    <t>Indicatieve RAW 22.06 beoordeling:</t>
  </si>
  <si>
    <t>i-LB</t>
  </si>
  <si>
    <t>T-waarde</t>
  </si>
  <si>
    <t>E-LB</t>
  </si>
  <si>
    <t>AW-s</t>
  </si>
  <si>
    <t>W wabo</t>
  </si>
  <si>
    <t>regel van toepassing</t>
  </si>
  <si>
    <t>Nee, uitlogen indien &gt;E-toetswaarde</t>
  </si>
  <si>
    <t>gemeten%</t>
  </si>
  <si>
    <t>gebruikt%</t>
  </si>
  <si>
    <t>drainzand</t>
  </si>
  <si>
    <t>zandbed</t>
  </si>
  <si>
    <t>ophoging</t>
  </si>
  <si>
    <t>org. Stof:</t>
  </si>
  <si>
    <t>&lt;63 µm</t>
  </si>
  <si>
    <t>&lt; 2 µm</t>
  </si>
  <si>
    <t>&lt; 20 µm (calc)</t>
  </si>
  <si>
    <t>product:</t>
  </si>
  <si>
    <t>kwalificatie als landbodem (indien van toepassing):</t>
  </si>
  <si>
    <t>kwalificatie als waterbodem (indien van toepassing):</t>
  </si>
  <si>
    <t>gebruik onder water zonder BRL</t>
  </si>
  <si>
    <t>gebruik onder water met BRL</t>
  </si>
  <si>
    <t>kwalificatie landbodem</t>
  </si>
  <si>
    <t>kwalificatie waterbodem</t>
  </si>
  <si>
    <t>&lt;2 mm</t>
  </si>
  <si>
    <t>blanco: niet geanalyseerd</t>
  </si>
  <si>
    <t>aant</t>
  </si>
  <si>
    <t>Totaal:</t>
  </si>
  <si>
    <t>toegestane overschrijdingen 4.2.2 en 4.10:</t>
  </si>
  <si>
    <t xml:space="preserve">: &gt;AW+wonen  bij toetsing aan tabel 1 bijlage B, RBK </t>
  </si>
  <si>
    <t>aantal toegestane overschrijdingen bij toetsing aan de AW, maar &lt;2xAW en &lt;"wonen":</t>
  </si>
  <si>
    <t>bij toepassen</t>
  </si>
  <si>
    <t>bij kwalificatie</t>
  </si>
  <si>
    <t>aantal toegestane overschrijdingen bij toetsing aan wonen, maar &lt;[AW+wonen] en &lt;industrie:</t>
  </si>
  <si>
    <t>BRL van toepassing  = 0</t>
  </si>
  <si>
    <t>Co</t>
  </si>
  <si>
    <t>Eindoordeel bij grootschalige toepassing op of in de landbodem:</t>
  </si>
  <si>
    <t>Eindoordeel bij grootschalige bodemtoepassing onder oppervlaktewater:</t>
  </si>
  <si>
    <t>Eindoordeel bij toepassing op of in de landbodem generiek kader:</t>
  </si>
  <si>
    <t>Eindoordeel bij bodemtoepassing onder oppervlaktewater generiek kader:</t>
  </si>
  <si>
    <t>drins-som aldr+dieldr+endr</t>
  </si>
  <si>
    <t>gemeten pH</t>
  </si>
  <si>
    <t>adres van de partij:</t>
  </si>
  <si>
    <t>plaats van de partij:</t>
  </si>
  <si>
    <t>hoeveelheid (ton)</t>
  </si>
  <si>
    <t>toetsen volgens BRL9335_1</t>
  </si>
  <si>
    <t>vandaag</t>
  </si>
  <si>
    <t>expratiedatum</t>
  </si>
  <si>
    <t>voormelding einde expiratie</t>
  </si>
  <si>
    <t>metalen mg/kgds</t>
  </si>
  <si>
    <t>overige anorganische stoffen mg/kgds</t>
  </si>
  <si>
    <t>aromatische stoffen mg/kgds</t>
  </si>
  <si>
    <t>polycyclische aromaten (PAK) mg/kgds</t>
  </si>
  <si>
    <t>vluchtige gechloreede koolwaterstoffen in mg/kgds</t>
  </si>
  <si>
    <t>Sb</t>
  </si>
  <si>
    <t>Cr(III)oxide</t>
  </si>
  <si>
    <t>CN-vrij</t>
  </si>
  <si>
    <t>xylenen</t>
  </si>
  <si>
    <t>cresolen-som</t>
  </si>
  <si>
    <t>C&amp;T 1,2-dichlooretheen</t>
  </si>
  <si>
    <t>1,1,1,-trichloorethaan</t>
  </si>
  <si>
    <t>1,1,2,-trichloorethaan</t>
  </si>
  <si>
    <t>trichlooretheen</t>
  </si>
  <si>
    <t>tetrachloormethaan</t>
  </si>
  <si>
    <t>tetrachlooretheen</t>
  </si>
  <si>
    <t>PCB-som7</t>
  </si>
  <si>
    <t>drins som</t>
  </si>
  <si>
    <t>lindaan</t>
  </si>
  <si>
    <t>CMR-stof 1=ja, 0=nee</t>
  </si>
  <si>
    <t>LD 50 oraal</t>
  </si>
  <si>
    <t>trichloormethaan</t>
  </si>
  <si>
    <t>LD50 percutaan</t>
  </si>
  <si>
    <t>LD50 inhalatoir</t>
  </si>
  <si>
    <t>kookpunt</t>
  </si>
  <si>
    <t>Cr(VI)oxide</t>
  </si>
  <si>
    <t>dampspanning</t>
  </si>
  <si>
    <t>MAC ppm</t>
  </si>
  <si>
    <t>MAC mg</t>
  </si>
  <si>
    <t>vlampunt</t>
  </si>
  <si>
    <t>LEL</t>
  </si>
  <si>
    <t>interventiewaarde grond</t>
  </si>
  <si>
    <t>interventiewaarde slib</t>
  </si>
  <si>
    <t>interventiewaarde grondwater</t>
  </si>
  <si>
    <t>oplosbaarheid in g/100 ml</t>
  </si>
  <si>
    <t>wonen grond</t>
  </si>
  <si>
    <t>wonen grondwater</t>
  </si>
  <si>
    <t>klasse A</t>
  </si>
  <si>
    <t>Deze sheet wordt ter beschikking gesteld door Back2B6 BV</t>
  </si>
  <si>
    <t>www.back2b6.com</t>
  </si>
  <si>
    <t>info@back2b6.com</t>
  </si>
  <si>
    <t>voor meer informatie over Back2B6</t>
  </si>
  <si>
    <t>voor contact</t>
  </si>
  <si>
    <t>Back2B6 BV baseert deze toetsingsmodule op vigerende regelgeving en probeert binnen al haar kennis fouten te voorkomen. Het gebruik van deze toetsingsmodule is voor eigen risico. Indien u manco's vindt, vernemen wij dat graag via helpdesk@back2b6.com</t>
  </si>
  <si>
    <t>Let op: Bij plakken analyseresultaten dienen PCB's en OCB's in µg/kgds te zijn geëxporteerd!</t>
  </si>
  <si>
    <t>Bij handmatige invoer het '&lt;' -teken in kolom C en E plaatsen.</t>
  </si>
  <si>
    <t>MAX:</t>
  </si>
  <si>
    <r>
      <t xml:space="preserve">PCB's                                                                           </t>
    </r>
    <r>
      <rPr>
        <b/>
        <u/>
        <sz val="8"/>
        <color indexed="10"/>
        <rFont val="Arial"/>
        <family val="2"/>
      </rPr>
      <t xml:space="preserve"> in µg/kgds</t>
    </r>
  </si>
  <si>
    <r>
      <t xml:space="preserve">organochloorbestrijdingsmiddelen                              </t>
    </r>
    <r>
      <rPr>
        <b/>
        <u/>
        <sz val="8"/>
        <color indexed="10"/>
        <rFont val="Arial"/>
        <family val="2"/>
      </rPr>
      <t xml:space="preserve">    in µg/kgds!!</t>
    </r>
  </si>
  <si>
    <t>pH&lt;5, bagger of thermische grond -&gt; 1 anders 0</t>
  </si>
  <si>
    <t>thermisch zand? 0=nee</t>
  </si>
  <si>
    <t>&gt;0=toch uitlogen onder BRL</t>
  </si>
  <si>
    <t>pH&lt;5? 0=nee</t>
  </si>
  <si>
    <t>partij/monstercode:</t>
  </si>
  <si>
    <t>bagger uit eigen beheersgebied toepassen onder oppervlaktewater? 0=nee</t>
  </si>
  <si>
    <t>som P- en N- bestrijdingsmiddelen</t>
  </si>
  <si>
    <t>som P- en N-bestrijdingsmiddelen</t>
  </si>
  <si>
    <t>monochlooranilinen [#]</t>
  </si>
  <si>
    <t>gebruik op land generiek</t>
  </si>
  <si>
    <t>gebruik onder water generiek</t>
  </si>
  <si>
    <t>samengestelde partij BRL9335</t>
  </si>
  <si>
    <t>Ja, AW-partijen</t>
  </si>
  <si>
    <t>Ja, wonen-partijen</t>
  </si>
  <si>
    <t>Ja, industrie-partijen</t>
  </si>
  <si>
    <t>Ja, klasse A-partijen</t>
  </si>
  <si>
    <t>Ja, klasse B-partijen</t>
  </si>
  <si>
    <t>Ja, niet toepasbare partijen</t>
  </si>
  <si>
    <t>Nee</t>
  </si>
  <si>
    <t>NVT</t>
  </si>
  <si>
    <t>Let op: grond en bagger in een samengestelde partij mag niet beter gekwalificeerd worden onder BRL9335 dan uit de voorinformatie blijkt!</t>
  </si>
  <si>
    <t>mg/kgds, eis voor olie bij toepassing in GBT op land</t>
  </si>
  <si>
    <t xml:space="preserve">Industrie eis olie GBT op land </t>
  </si>
  <si>
    <t>gecorrigeerd gehalte</t>
  </si>
  <si>
    <t>olie generiek</t>
  </si>
  <si>
    <t>Ja, bij pH&lt;5, baggerspecie en therm.gereinigde grond uitlogen bij &gt;E-toetsw</t>
  </si>
  <si>
    <t>minerale olie [3]</t>
  </si>
  <si>
    <t>Totaal P (mg/kgds)</t>
  </si>
  <si>
    <t>Totaal Fe (mg/kgds)</t>
  </si>
  <si>
    <t>P/Fe-ratio</t>
  </si>
  <si>
    <t>eis vullaag</t>
  </si>
  <si>
    <t>eis afdeklaag</t>
  </si>
  <si>
    <t>optioneel</t>
  </si>
  <si>
    <t>optionele metingen diepe putten</t>
  </si>
  <si>
    <t>conclusie eutrofiëringsrisico toepassen in diepe putten</t>
  </si>
  <si>
    <t>geen eis</t>
  </si>
  <si>
    <t>dagen tot expireren</t>
  </si>
  <si>
    <t>gestand meting 1</t>
  </si>
  <si>
    <t>gestand meting 2</t>
  </si>
  <si>
    <t>gemeten mm1</t>
  </si>
  <si>
    <t>gemeten mm2</t>
  </si>
  <si>
    <t>gestand mm1</t>
  </si>
  <si>
    <t>gestand mm2</t>
  </si>
  <si>
    <t>gemiddeld</t>
  </si>
  <si>
    <t>aantal met</t>
  </si>
  <si>
    <t>leem</t>
  </si>
  <si>
    <t>lemige grond</t>
  </si>
  <si>
    <t>terug te plaatsen tarragrond [#}</t>
  </si>
  <si>
    <t>waterbodem/(gerijpte)bagger (@)</t>
  </si>
  <si>
    <t>µg/kgds</t>
  </si>
  <si>
    <t>meting?</t>
  </si>
  <si>
    <t>HCH-som (alfa..gamma)</t>
  </si>
  <si>
    <t>Datum:</t>
  </si>
  <si>
    <t>Datum toetsing</t>
  </si>
  <si>
    <t>bij org. MM1     MM2</t>
  </si>
  <si>
    <t>Kwalificatie volgens voorinfo bij BRL9335-samengestelde partij:</t>
  </si>
  <si>
    <t>[*]: De normen voor barium zijn ingetrokken. Voor antropogeen barium kan het bevoegd gezag 920 mg/kgds als eis hanteren bij toepassing</t>
  </si>
  <si>
    <t>Intakeformulier voor toetsen van grond en bagger aan tabel 1 en 2, bijlage B, Regeling Bodemkwaliteit</t>
  </si>
  <si>
    <r>
      <t xml:space="preserve">overige chloorkoolwaterstoffen </t>
    </r>
    <r>
      <rPr>
        <u/>
        <sz val="8"/>
        <color rgb="FFFF0000"/>
        <rFont val="Arial"/>
        <family val="2"/>
      </rPr>
      <t xml:space="preserve">                            </t>
    </r>
    <r>
      <rPr>
        <b/>
        <u/>
        <sz val="8"/>
        <color rgb="FFFF0000"/>
        <rFont val="Arial"/>
        <family val="2"/>
      </rPr>
      <t xml:space="preserve">       in mg/kgds</t>
    </r>
  </si>
  <si>
    <t>voorlopige AS300 rapportagegrenzen</t>
  </si>
  <si>
    <t>gemiddeld-gestand vlgs RBK - G-III</t>
  </si>
  <si>
    <t>CAS</t>
  </si>
  <si>
    <t>Stofnaam</t>
  </si>
  <si>
    <t>n toetsen</t>
  </si>
  <si>
    <t>Log(gemidd.Chron NOEC in mg/l )</t>
  </si>
  <si>
    <t>StDev</t>
  </si>
  <si>
    <t>TMoA</t>
  </si>
  <si>
    <t>(μ)</t>
  </si>
  <si>
    <t>(σ)</t>
  </si>
  <si>
    <t>alfa-HCH</t>
  </si>
  <si>
    <t>CYCLO</t>
  </si>
  <si>
    <t>beta-HCH</t>
  </si>
  <si>
    <t>delta-HCH</t>
  </si>
  <si>
    <t>epsilon-HCH</t>
  </si>
  <si>
    <t>gamma-HCH (lindaan)</t>
  </si>
  <si>
    <t>Chloordaan</t>
  </si>
  <si>
    <t>Hexachloorbenzeen</t>
  </si>
  <si>
    <t>Aldrin</t>
  </si>
  <si>
    <t>Dieldrin</t>
  </si>
  <si>
    <t>Endrin</t>
  </si>
  <si>
    <t>Isodrin</t>
  </si>
  <si>
    <t>Telodrin</t>
  </si>
  <si>
    <t>Heptachloor</t>
  </si>
  <si>
    <t>Heptachloorepoxide</t>
  </si>
  <si>
    <t>o,p'-DDD</t>
  </si>
  <si>
    <t>o,p'-DDE</t>
  </si>
  <si>
    <t>#N/A</t>
  </si>
  <si>
    <t>o,p'-DDT</t>
  </si>
  <si>
    <t>p,p'-DDD</t>
  </si>
  <si>
    <t>p,p'-DDE</t>
  </si>
  <si>
    <t>p,p'-DDT</t>
  </si>
  <si>
    <t>AS</t>
  </si>
  <si>
    <t>CD</t>
  </si>
  <si>
    <t>CR</t>
  </si>
  <si>
    <t>CU</t>
  </si>
  <si>
    <t>HG</t>
  </si>
  <si>
    <t>NI</t>
  </si>
  <si>
    <t>PB</t>
  </si>
  <si>
    <t>ZN</t>
  </si>
  <si>
    <t>????</t>
  </si>
  <si>
    <t>MinOil</t>
  </si>
  <si>
    <t>NPN</t>
  </si>
  <si>
    <t>Pentachloorfenol</t>
  </si>
  <si>
    <t>OXPHO</t>
  </si>
  <si>
    <t>Anthraceen</t>
  </si>
  <si>
    <t>Benzo(a)anthraceen</t>
  </si>
  <si>
    <t>Benzo(a)pyreen</t>
  </si>
  <si>
    <t>Benzo(ghi)peryleen</t>
  </si>
  <si>
    <t>Benzo(k)fluorantheen</t>
  </si>
  <si>
    <t>Chryseen</t>
  </si>
  <si>
    <t>Fenanthreen</t>
  </si>
  <si>
    <t>Fluorantheen</t>
  </si>
  <si>
    <t>Indeno(123cd)pyreen</t>
  </si>
  <si>
    <t>Naftaleen</t>
  </si>
  <si>
    <t>PCB28</t>
  </si>
  <si>
    <t>PCB</t>
  </si>
  <si>
    <t>PCB52</t>
  </si>
  <si>
    <t>PCB101</t>
  </si>
  <si>
    <t>PCB118</t>
  </si>
  <si>
    <t>PCB138</t>
  </si>
  <si>
    <t>PCB153</t>
  </si>
  <si>
    <t>PCB180</t>
  </si>
  <si>
    <t>Hexachloor-1,3-butadieen</t>
  </si>
  <si>
    <t>ALKAR</t>
  </si>
  <si>
    <t>Koc's in RTB:</t>
  </si>
  <si>
    <t>SID</t>
  </si>
  <si>
    <t>SubstName</t>
  </si>
  <si>
    <t>Koc/Kd</t>
  </si>
  <si>
    <t>alfa-endosulfaan</t>
  </si>
  <si>
    <t>Arseen</t>
  </si>
  <si>
    <t>Kwik</t>
  </si>
  <si>
    <t>LET OP: vul meetwaarden in, niet gecorrigeerde waarden</t>
  </si>
  <si>
    <t>Invoergegevens</t>
  </si>
  <si>
    <t>Toetsing aan vaste normen</t>
  </si>
  <si>
    <t>alg</t>
  </si>
  <si>
    <t>Ba</t>
  </si>
  <si>
    <t>olie</t>
  </si>
  <si>
    <t xml:space="preserve">totaalgehalte: Qi (mg/kg) </t>
  </si>
  <si>
    <t>gecorrigeerd gehalte in mg/kgds</t>
  </si>
  <si>
    <t>stap I: berekening poriewaterconcentratie</t>
  </si>
  <si>
    <t>maximale gehalte/norm</t>
  </si>
  <si>
    <t>Overrulen msPAF-toets?</t>
  </si>
  <si>
    <t>anorganisch</t>
  </si>
  <si>
    <t>organisch</t>
  </si>
  <si>
    <t>OS (%)</t>
  </si>
  <si>
    <t>lutum(%)</t>
  </si>
  <si>
    <t>log Qi,reactief</t>
  </si>
  <si>
    <t>Qi, reactief (mg/kg)</t>
  </si>
  <si>
    <t>molecuulmassa</t>
  </si>
  <si>
    <t>Qi, reactief (mol/kg)</t>
  </si>
  <si>
    <t>f</t>
  </si>
  <si>
    <t>g</t>
  </si>
  <si>
    <t>h</t>
  </si>
  <si>
    <t>log Kd,i (mol*l^n)/(mmol*kg)</t>
  </si>
  <si>
    <t>Kd,i (mol*l^n)/(mmol*kg)</t>
  </si>
  <si>
    <t>Kd,i (l/kg)</t>
  </si>
  <si>
    <t>Ci (mmol/l)</t>
  </si>
  <si>
    <t>Ci (mg/l)</t>
  </si>
  <si>
    <t>stap II: correctie AW</t>
  </si>
  <si>
    <t>AW (mg/kg)</t>
  </si>
  <si>
    <t>Ci (op AW-niveau) (mg/l)</t>
  </si>
  <si>
    <t>Ci (corr.AW) (mg/l)</t>
  </si>
  <si>
    <t>Stap III: correctie DOC</t>
  </si>
  <si>
    <t>correctiefactor</t>
  </si>
  <si>
    <t>Ci (corr. AW&amp;DOC) (mg/l)</t>
  </si>
  <si>
    <t>log(Ci, corr.AW*DOC) (mg/l)</t>
  </si>
  <si>
    <t>stap IV: individuele PAF</t>
  </si>
  <si>
    <t>PAF</t>
  </si>
  <si>
    <t>PAF (%)</t>
  </si>
  <si>
    <t>stap V: msPAFmetalen</t>
  </si>
  <si>
    <t>msPAF metaal</t>
  </si>
  <si>
    <t>msPAF metaal (%)</t>
  </si>
  <si>
    <t>algemeen</t>
  </si>
  <si>
    <t>a-HCH</t>
  </si>
  <si>
    <t>b-HCH</t>
  </si>
  <si>
    <t>d-HCH</t>
  </si>
  <si>
    <t>e-HCH</t>
  </si>
  <si>
    <t>g-HCH (lindaan)</t>
  </si>
  <si>
    <t>a-endosulfan</t>
  </si>
  <si>
    <t>a-endosulfaat</t>
  </si>
  <si>
    <t>HCB</t>
  </si>
  <si>
    <t>Hepta</t>
  </si>
  <si>
    <t>Hepo</t>
  </si>
  <si>
    <t>Ant</t>
  </si>
  <si>
    <t>BaA</t>
  </si>
  <si>
    <t>BaP</t>
  </si>
  <si>
    <t>BgP</t>
  </si>
  <si>
    <t>BkF</t>
  </si>
  <si>
    <t>Chrys</t>
  </si>
  <si>
    <t>Fen</t>
  </si>
  <si>
    <t>Flu</t>
  </si>
  <si>
    <t>InP</t>
  </si>
  <si>
    <t>Naf</t>
  </si>
  <si>
    <t>HCBD</t>
  </si>
  <si>
    <r>
      <t>Qi (</t>
    </r>
    <r>
      <rPr>
        <b/>
        <sz val="10"/>
        <rFont val="Arial"/>
        <family val="2"/>
      </rPr>
      <t>mg/kg</t>
    </r>
    <r>
      <rPr>
        <sz val="10"/>
        <rFont val="Arial"/>
        <family val="2"/>
      </rPr>
      <t>)</t>
    </r>
  </si>
  <si>
    <t>-</t>
  </si>
  <si>
    <t>Qi *0,8 (mg/kg)</t>
  </si>
  <si>
    <t>alleen PAK</t>
  </si>
  <si>
    <t>OC-fractie</t>
  </si>
  <si>
    <t>OS-fractie</t>
  </si>
  <si>
    <t>log K-oc</t>
  </si>
  <si>
    <t>K-oc</t>
  </si>
  <si>
    <t>K-d (kg/l)</t>
  </si>
  <si>
    <t>ci (mg/l)</t>
  </si>
  <si>
    <t>log Ci (mg/l)</t>
  </si>
  <si>
    <t>mu</t>
  </si>
  <si>
    <t>sigma</t>
  </si>
  <si>
    <t>HU</t>
  </si>
  <si>
    <t>TMoA-groep</t>
  </si>
  <si>
    <t>log som HU per TMoA-groep</t>
  </si>
  <si>
    <t>msPAF per TMoA-groep</t>
  </si>
  <si>
    <t>msPAF organisch</t>
  </si>
  <si>
    <t>msPAF org (%)</t>
  </si>
  <si>
    <t>msPAF-toets</t>
  </si>
  <si>
    <t>is msPAG anor&lt;=50%</t>
  </si>
  <si>
    <t>is msPAF org&lt;=20%</t>
  </si>
  <si>
    <t>1=ja, 0=nee</t>
  </si>
  <si>
    <t>verspreidbaar</t>
  </si>
  <si>
    <t>Sn</t>
  </si>
  <si>
    <t>V</t>
  </si>
  <si>
    <t>P5CF</t>
  </si>
  <si>
    <t>P5C-benzeen</t>
  </si>
  <si>
    <t>Pentachloorbenzeen</t>
  </si>
  <si>
    <t>Maximale verhouding tussen metingen:</t>
  </si>
  <si>
    <t xml:space="preserve">     op land en 625 mg/kgds bij toepassing onder oppervlaktewater.</t>
  </si>
  <si>
    <r>
      <t xml:space="preserve">organofosfor bestrijdingsmiddelen    </t>
    </r>
    <r>
      <rPr>
        <b/>
        <u/>
        <sz val="8"/>
        <color rgb="FFFF0000"/>
        <rFont val="Arial"/>
        <family val="2"/>
      </rPr>
      <t xml:space="preserve">                                     in mg/kgds</t>
    </r>
  </si>
  <si>
    <t>indien 1 dan sprake van grond &gt;industrie maar wel klasse A/B, dus niet toepasbaar onder water</t>
  </si>
  <si>
    <t>indien 1 dan sprake van waterbodem olie&gt;500 en &lt;2000, dus niet generiek op land wel in GBT</t>
  </si>
  <si>
    <t>GBT op land met BRL</t>
  </si>
  <si>
    <t>GBT op land zonder BRL</t>
  </si>
  <si>
    <t>olie uit waterb &gt;2000 GBT op land</t>
  </si>
  <si>
    <t>Ni- regeling</t>
  </si>
  <si>
    <t>toets Ni  &gt;2xAW</t>
  </si>
  <si>
    <t>toets of Ni &gt;AW + wonen</t>
  </si>
  <si>
    <t>grond=0, bagger=1</t>
  </si>
  <si>
    <t>gehalte in grond/bagger (gestand mg/kgds)</t>
  </si>
  <si>
    <t>CROW132-veiligheidsklasse</t>
  </si>
  <si>
    <t>geen klasse</t>
  </si>
  <si>
    <t>basisklasse</t>
  </si>
  <si>
    <t>gehalte in grond/bagger (ongecorrigeerd mg/kgds)</t>
  </si>
  <si>
    <t>&gt; i-waarde landbodem?</t>
  </si>
  <si>
    <t>&gt; i-waarde waterbodem?</t>
  </si>
  <si>
    <t>waterbodem?</t>
  </si>
  <si>
    <t>CROW132 berekening T- &amp; F-klassen</t>
  </si>
  <si>
    <t>Plaats:</t>
  </si>
  <si>
    <t>Straat+nr:</t>
  </si>
  <si>
    <t>Monstercode:</t>
  </si>
  <si>
    <t>asbest&gt;100?</t>
  </si>
  <si>
    <t>asbestklasse</t>
  </si>
  <si>
    <t>3T</t>
  </si>
  <si>
    <t>voorlopige T</t>
  </si>
  <si>
    <t>In onderhoud</t>
  </si>
  <si>
    <t>MM1</t>
  </si>
  <si>
    <t>MM2</t>
  </si>
  <si>
    <r>
      <rPr>
        <sz val="12"/>
        <rFont val="Calibri"/>
        <family val="2"/>
        <scheme val="minor"/>
      </rPr>
      <t xml:space="preserve">Back To Basics </t>
    </r>
    <r>
      <rPr>
        <sz val="8"/>
        <rFont val="Calibri"/>
        <family val="2"/>
        <scheme val="minor"/>
      </rPr>
      <t>surveysoftware   veldwerkregistratie SIKB 1000 en 2000  zie: www.back2b6.com</t>
    </r>
  </si>
  <si>
    <t>Gem</t>
  </si>
  <si>
    <t>Deze toetsing beoordeelt volgens de Regeling Bodemkwaliteit en BRL9335, inclusief alle wijzigingen in de Regeling Bodemkwaliteit tot en met de wijziging per 1 januari 2015</t>
  </si>
  <si>
    <t>HCH-som (alfa+beta+gamma)</t>
  </si>
  <si>
    <t>Laatst gewijzigd</t>
  </si>
  <si>
    <t>mg/kg d.s.</t>
  </si>
  <si>
    <t>AW</t>
  </si>
  <si>
    <t>gec meetw</t>
  </si>
  <si>
    <t>Back2B6 versie 14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</si>
</sst>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0"/>
    <numFmt numFmtId="167" formatCode="0.000"/>
  </numFmts>
  <fonts count="9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u/>
      <sz val="8"/>
      <color indexed="1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9"/>
      <color indexed="10"/>
      <name val="Arial"/>
      <family val="2"/>
    </font>
    <font>
      <u/>
      <sz val="10"/>
      <color indexed="18"/>
      <name val="Arial"/>
      <family val="2"/>
    </font>
    <font>
      <b/>
      <sz val="12"/>
      <color indexed="10"/>
      <name val="Arial"/>
      <family val="2"/>
    </font>
    <font>
      <i/>
      <sz val="10"/>
      <color indexed="56"/>
      <name val="Arial"/>
      <family val="2"/>
    </font>
    <font>
      <i/>
      <sz val="9"/>
      <color indexed="56"/>
      <name val="Arial"/>
      <family val="2"/>
    </font>
    <font>
      <i/>
      <u/>
      <sz val="10"/>
      <name val="Arial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0"/>
      <name val="Univers"/>
      <family val="2"/>
    </font>
    <font>
      <u/>
      <sz val="10"/>
      <color indexed="12"/>
      <name val="Univers"/>
      <family val="2"/>
    </font>
    <font>
      <sz val="10"/>
      <name val="Univers"/>
      <family val="2"/>
    </font>
    <font>
      <b/>
      <u/>
      <sz val="8"/>
      <color indexed="10"/>
      <name val="Arial"/>
      <family val="2"/>
    </font>
    <font>
      <u/>
      <sz val="7.5"/>
      <color theme="10"/>
      <name val="Arial"/>
      <family val="2"/>
    </font>
    <font>
      <i/>
      <sz val="9"/>
      <color rgb="FF0000CC"/>
      <name val="Arial"/>
      <family val="2"/>
    </font>
    <font>
      <b/>
      <i/>
      <sz val="12"/>
      <color rgb="FF0000CC"/>
      <name val="Arial"/>
      <family val="2"/>
    </font>
    <font>
      <i/>
      <sz val="10"/>
      <color rgb="FF0000CC"/>
      <name val="Arial"/>
      <family val="2"/>
    </font>
    <font>
      <b/>
      <sz val="9"/>
      <color theme="6" tint="-0.49998474074526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9"/>
      <color theme="10"/>
      <name val="Arial"/>
      <family val="2"/>
    </font>
    <font>
      <i/>
      <sz val="9"/>
      <name val="Arial"/>
      <family val="2"/>
    </font>
    <font>
      <b/>
      <sz val="8"/>
      <color theme="3" tint="-0.24994659260841701"/>
      <name val="Arial"/>
      <family val="2"/>
    </font>
    <font>
      <b/>
      <i/>
      <sz val="9"/>
      <name val="Calibri"/>
      <family val="2"/>
      <scheme val="minor"/>
    </font>
    <font>
      <u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V&amp;W Syntax (Adobe)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5"/>
      <name val="Calibri"/>
      <family val="2"/>
      <scheme val="minor"/>
    </font>
    <font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ourier"/>
      <family val="3"/>
    </font>
  </fonts>
  <fills count="5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6337778862885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theme="6" tint="-0.499984740745262"/>
      </right>
      <top/>
      <bottom/>
      <diagonal/>
    </border>
    <border>
      <left style="double">
        <color theme="6" tint="-0.499984740745262"/>
      </left>
      <right/>
      <top style="double">
        <color theme="6" tint="-0.499984740745262"/>
      </top>
      <bottom/>
      <diagonal/>
    </border>
    <border>
      <left/>
      <right/>
      <top style="double">
        <color theme="6" tint="-0.499984740745262"/>
      </top>
      <bottom/>
      <diagonal/>
    </border>
    <border>
      <left/>
      <right style="double">
        <color theme="6" tint="-0.499984740745262"/>
      </right>
      <top style="double">
        <color theme="6" tint="-0.499984740745262"/>
      </top>
      <bottom/>
      <diagonal/>
    </border>
    <border>
      <left style="double">
        <color theme="6" tint="-0.499984740745262"/>
      </left>
      <right/>
      <top/>
      <bottom/>
      <diagonal/>
    </border>
    <border>
      <left/>
      <right/>
      <top/>
      <bottom style="medium">
        <color theme="1"/>
      </bottom>
      <diagonal/>
    </border>
    <border>
      <left style="double">
        <color theme="6" tint="-0.499984740745262"/>
      </left>
      <right/>
      <top/>
      <bottom style="medium">
        <color theme="1"/>
      </bottom>
      <diagonal/>
    </border>
    <border>
      <left/>
      <right style="double">
        <color theme="6" tint="-0.499984740745262"/>
      </right>
      <top/>
      <bottom style="medium">
        <color theme="1"/>
      </bottom>
      <diagonal/>
    </border>
    <border>
      <left style="double">
        <color theme="6" tint="-0.499984740745262"/>
      </left>
      <right/>
      <top style="medium">
        <color indexed="64"/>
      </top>
      <bottom/>
      <diagonal/>
    </border>
    <border>
      <left/>
      <right style="double">
        <color theme="6" tint="-0.499984740745262"/>
      </right>
      <top style="medium">
        <color indexed="64"/>
      </top>
      <bottom/>
      <diagonal/>
    </border>
    <border>
      <left style="double">
        <color theme="6" tint="-0.499984740745262"/>
      </left>
      <right/>
      <top/>
      <bottom style="medium">
        <color indexed="64"/>
      </bottom>
      <diagonal/>
    </border>
    <border>
      <left/>
      <right style="double">
        <color theme="6" tint="-0.499984740745262"/>
      </right>
      <top/>
      <bottom style="medium">
        <color indexed="64"/>
      </bottom>
      <diagonal/>
    </border>
    <border>
      <left style="double">
        <color theme="6" tint="-0.499984740745262"/>
      </left>
      <right/>
      <top/>
      <bottom style="double">
        <color theme="6" tint="-0.499984740745262"/>
      </bottom>
      <diagonal/>
    </border>
    <border>
      <left/>
      <right/>
      <top/>
      <bottom style="double">
        <color theme="6" tint="-0.499984740745262"/>
      </bottom>
      <diagonal/>
    </border>
    <border>
      <left/>
      <right style="double">
        <color theme="6" tint="-0.499984740745262"/>
      </right>
      <top/>
      <bottom style="double">
        <color theme="6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/>
      <top/>
      <bottom style="thick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double">
        <color theme="6" tint="-0.499984740745262"/>
      </left>
      <right/>
      <top/>
      <bottom style="thin">
        <color indexed="64"/>
      </bottom>
      <diagonal/>
    </border>
    <border>
      <left/>
      <right style="double">
        <color theme="6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61" fillId="0" borderId="0" applyNumberFormat="0" applyFill="0" applyBorder="0" applyAlignment="0" applyProtection="0"/>
    <xf numFmtId="0" fontId="62" fillId="0" borderId="83" applyNumberFormat="0" applyFill="0" applyAlignment="0" applyProtection="0"/>
    <xf numFmtId="0" fontId="63" fillId="0" borderId="84" applyNumberFormat="0" applyFill="0" applyAlignment="0" applyProtection="0"/>
    <xf numFmtId="0" fontId="64" fillId="0" borderId="85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86" applyNumberFormat="0" applyAlignment="0" applyProtection="0"/>
    <xf numFmtId="0" fontId="69" fillId="24" borderId="87" applyNumberFormat="0" applyAlignment="0" applyProtection="0"/>
    <xf numFmtId="0" fontId="70" fillId="24" borderId="86" applyNumberFormat="0" applyAlignment="0" applyProtection="0"/>
    <xf numFmtId="0" fontId="71" fillId="0" borderId="88" applyNumberFormat="0" applyFill="0" applyAlignment="0" applyProtection="0"/>
    <xf numFmtId="0" fontId="72" fillId="25" borderId="8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1" applyNumberFormat="0" applyFill="0" applyAlignment="0" applyProtection="0"/>
    <xf numFmtId="0" fontId="7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76" fillId="50" borderId="0" applyNumberFormat="0" applyBorder="0" applyAlignment="0" applyProtection="0"/>
    <xf numFmtId="0" fontId="3" fillId="0" borderId="0"/>
    <xf numFmtId="0" fontId="3" fillId="26" borderId="90" applyNumberFormat="0" applyFont="0" applyAlignment="0" applyProtection="0"/>
    <xf numFmtId="0" fontId="2" fillId="0" borderId="0"/>
    <xf numFmtId="0" fontId="2" fillId="26" borderId="90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1" fillId="0" borderId="0"/>
    <xf numFmtId="0" fontId="77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0" applyNumberFormat="0" applyBorder="0" applyAlignment="0" applyProtection="0"/>
    <xf numFmtId="0" fontId="80" fillId="22" borderId="0" applyNumberFormat="0" applyBorder="0" applyAlignment="0" applyProtection="0"/>
    <xf numFmtId="0" fontId="81" fillId="23" borderId="86" applyNumberFormat="0" applyAlignment="0" applyProtection="0"/>
    <xf numFmtId="0" fontId="82" fillId="24" borderId="87" applyNumberFormat="0" applyAlignment="0" applyProtection="0"/>
    <xf numFmtId="0" fontId="83" fillId="24" borderId="86" applyNumberFormat="0" applyAlignment="0" applyProtection="0"/>
    <xf numFmtId="0" fontId="84" fillId="0" borderId="88" applyNumberFormat="0" applyFill="0" applyAlignment="0" applyProtection="0"/>
    <xf numFmtId="0" fontId="85" fillId="25" borderId="89" applyNumberFormat="0" applyAlignment="0" applyProtection="0"/>
    <xf numFmtId="0" fontId="86" fillId="0" borderId="0" applyNumberFormat="0" applyFill="0" applyBorder="0" applyAlignment="0" applyProtection="0"/>
    <xf numFmtId="0" fontId="1" fillId="26" borderId="90" applyNumberFormat="0" applyFont="0" applyAlignment="0" applyProtection="0"/>
    <xf numFmtId="0" fontId="87" fillId="0" borderId="0" applyNumberFormat="0" applyFill="0" applyBorder="0" applyAlignment="0" applyProtection="0"/>
    <xf numFmtId="0" fontId="88" fillId="0" borderId="91" applyNumberFormat="0" applyFill="0" applyAlignment="0" applyProtection="0"/>
    <xf numFmtId="0" fontId="8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89" fillId="34" borderId="0" applyNumberFormat="0" applyBorder="0" applyAlignment="0" applyProtection="0"/>
    <xf numFmtId="0" fontId="8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89" fillId="38" borderId="0" applyNumberFormat="0" applyBorder="0" applyAlignment="0" applyProtection="0"/>
    <xf numFmtId="0" fontId="8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89" fillId="46" borderId="0" applyNumberFormat="0" applyBorder="0" applyAlignment="0" applyProtection="0"/>
    <xf numFmtId="0" fontId="8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89" fillId="50" borderId="0" applyNumberFormat="0" applyBorder="0" applyAlignment="0" applyProtection="0"/>
  </cellStyleXfs>
  <cellXfs count="518">
    <xf numFmtId="0" fontId="0" fillId="0" borderId="0" xfId="0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/>
    <xf numFmtId="0" fontId="6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Protection="1"/>
    <xf numFmtId="0" fontId="5" fillId="3" borderId="3" xfId="0" applyFont="1" applyFill="1" applyBorder="1" applyProtection="1"/>
    <xf numFmtId="0" fontId="6" fillId="3" borderId="3" xfId="0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 textRotation="90"/>
    </xf>
    <xf numFmtId="0" fontId="6" fillId="3" borderId="4" xfId="0" applyFont="1" applyFill="1" applyBorder="1" applyAlignment="1" applyProtection="1">
      <alignment horizontal="center" textRotation="90" wrapText="1"/>
    </xf>
    <xf numFmtId="0" fontId="6" fillId="3" borderId="4" xfId="0" applyFont="1" applyFill="1" applyBorder="1" applyAlignment="1" applyProtection="1">
      <alignment horizontal="center" textRotation="90"/>
    </xf>
    <xf numFmtId="0" fontId="6" fillId="3" borderId="5" xfId="0" applyFont="1" applyFill="1" applyBorder="1" applyAlignment="1" applyProtection="1">
      <alignment horizontal="center" textRotation="90"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 textRotation="90"/>
    </xf>
    <xf numFmtId="0" fontId="5" fillId="4" borderId="0" xfId="0" applyFont="1" applyFill="1" applyBorder="1" applyProtection="1"/>
    <xf numFmtId="0" fontId="6" fillId="4" borderId="0" xfId="0" applyFont="1" applyFill="1" applyBorder="1" applyAlignment="1" applyProtection="1">
      <alignment horizontal="center" textRotation="90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Protection="1"/>
    <xf numFmtId="0" fontId="6" fillId="4" borderId="0" xfId="0" applyFont="1" applyFill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Protection="1"/>
    <xf numFmtId="167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7" fillId="0" borderId="0" xfId="0" applyFont="1" applyFill="1" applyProtection="1"/>
    <xf numFmtId="0" fontId="6" fillId="0" borderId="0" xfId="0" applyFont="1" applyBorder="1" applyProtection="1"/>
    <xf numFmtId="166" fontId="6" fillId="0" borderId="0" xfId="0" applyNumberFormat="1" applyFont="1" applyFill="1" applyBorder="1" applyAlignment="1" applyProtection="1">
      <alignment horizontal="center"/>
    </xf>
    <xf numFmtId="0" fontId="6" fillId="4" borderId="0" xfId="0" applyFont="1" applyFill="1" applyProtection="1"/>
    <xf numFmtId="0" fontId="13" fillId="0" borderId="0" xfId="0" applyFont="1" applyAlignment="1">
      <alignment horizontal="center"/>
    </xf>
    <xf numFmtId="0" fontId="0" fillId="0" borderId="0" xfId="0" applyFill="1" applyProtection="1"/>
    <xf numFmtId="0" fontId="6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3" borderId="6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left"/>
    </xf>
    <xf numFmtId="0" fontId="6" fillId="3" borderId="7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6" fillId="3" borderId="8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textRotation="90"/>
    </xf>
    <xf numFmtId="0" fontId="6" fillId="2" borderId="5" xfId="0" applyFont="1" applyFill="1" applyBorder="1" applyAlignment="1" applyProtection="1">
      <alignment horizontal="center" textRotation="90" wrapText="1"/>
    </xf>
    <xf numFmtId="0" fontId="6" fillId="0" borderId="11" xfId="0" applyFont="1" applyFill="1" applyBorder="1" applyAlignment="1" applyProtection="1">
      <alignment horizontal="center" textRotation="90"/>
    </xf>
    <xf numFmtId="0" fontId="6" fillId="0" borderId="12" xfId="0" applyFont="1" applyFill="1" applyBorder="1" applyAlignment="1" applyProtection="1">
      <alignment horizontal="center" textRotation="90"/>
    </xf>
    <xf numFmtId="0" fontId="6" fillId="0" borderId="13" xfId="0" applyFont="1" applyFill="1" applyBorder="1" applyAlignment="1" applyProtection="1">
      <alignment horizontal="center" textRotation="90"/>
    </xf>
    <xf numFmtId="0" fontId="6" fillId="0" borderId="14" xfId="0" applyFont="1" applyFill="1" applyBorder="1" applyAlignment="1" applyProtection="1">
      <alignment horizontal="center" textRotation="90"/>
    </xf>
    <xf numFmtId="0" fontId="6" fillId="0" borderId="15" xfId="0" applyFont="1" applyFill="1" applyBorder="1" applyAlignment="1" applyProtection="1">
      <alignment horizontal="center" textRotation="90"/>
    </xf>
    <xf numFmtId="0" fontId="6" fillId="0" borderId="0" xfId="0" applyFont="1" applyFill="1" applyAlignment="1" applyProtection="1">
      <alignment horizontal="center" textRotation="90"/>
    </xf>
    <xf numFmtId="0" fontId="6" fillId="4" borderId="16" xfId="0" applyFont="1" applyFill="1" applyBorder="1" applyAlignment="1" applyProtection="1">
      <alignment horizontal="center" textRotation="90"/>
    </xf>
    <xf numFmtId="0" fontId="6" fillId="4" borderId="17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</xf>
    <xf numFmtId="2" fontId="6" fillId="0" borderId="16" xfId="0" applyNumberFormat="1" applyFont="1" applyBorder="1" applyAlignment="1" applyProtection="1">
      <alignment horizontal="center"/>
    </xf>
    <xf numFmtId="1" fontId="6" fillId="0" borderId="8" xfId="0" applyNumberFormat="1" applyFont="1" applyFill="1" applyBorder="1" applyAlignment="1" applyProtection="1">
      <alignment horizontal="center"/>
    </xf>
    <xf numFmtId="167" fontId="6" fillId="0" borderId="8" xfId="0" applyNumberFormat="1" applyFont="1" applyFill="1" applyBorder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0" fontId="5" fillId="6" borderId="19" xfId="0" applyFont="1" applyFill="1" applyBorder="1" applyProtection="1"/>
    <xf numFmtId="0" fontId="6" fillId="6" borderId="19" xfId="0" applyFont="1" applyFill="1" applyBorder="1" applyProtection="1"/>
    <xf numFmtId="0" fontId="6" fillId="6" borderId="20" xfId="0" applyFont="1" applyFill="1" applyBorder="1" applyProtection="1"/>
    <xf numFmtId="0" fontId="6" fillId="6" borderId="21" xfId="0" applyFont="1" applyFill="1" applyBorder="1" applyProtection="1"/>
    <xf numFmtId="0" fontId="6" fillId="6" borderId="22" xfId="0" applyFont="1" applyFill="1" applyBorder="1" applyProtection="1"/>
    <xf numFmtId="0" fontId="6" fillId="6" borderId="19" xfId="0" applyFont="1" applyFill="1" applyBorder="1" applyAlignment="1" applyProtection="1">
      <alignment horizontal="center"/>
    </xf>
    <xf numFmtId="0" fontId="15" fillId="7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6" fillId="0" borderId="10" xfId="0" applyFont="1" applyBorder="1" applyProtection="1"/>
    <xf numFmtId="0" fontId="6" fillId="0" borderId="7" xfId="0" applyFont="1" applyBorder="1" applyAlignment="1" applyProtection="1">
      <alignment horizontal="center"/>
    </xf>
    <xf numFmtId="0" fontId="12" fillId="0" borderId="0" xfId="0" applyFont="1" applyProtection="1"/>
    <xf numFmtId="0" fontId="6" fillId="0" borderId="7" xfId="0" applyFont="1" applyBorder="1" applyProtection="1"/>
    <xf numFmtId="2" fontId="6" fillId="0" borderId="0" xfId="0" applyNumberFormat="1" applyFont="1" applyAlignment="1" applyProtection="1">
      <alignment horizontal="center"/>
    </xf>
    <xf numFmtId="0" fontId="0" fillId="0" borderId="0" xfId="0" applyProtection="1">
      <protection locked="0"/>
    </xf>
    <xf numFmtId="0" fontId="16" fillId="0" borderId="0" xfId="0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textRotation="90"/>
    </xf>
    <xf numFmtId="0" fontId="18" fillId="4" borderId="0" xfId="0" applyFont="1" applyFill="1" applyBorder="1" applyAlignment="1" applyProtection="1">
      <alignment horizontal="center"/>
    </xf>
    <xf numFmtId="167" fontId="16" fillId="0" borderId="0" xfId="0" applyNumberFormat="1" applyFont="1" applyAlignment="1" applyProtection="1">
      <alignment horizontal="center"/>
    </xf>
    <xf numFmtId="0" fontId="6" fillId="5" borderId="0" xfId="0" applyFont="1" applyFill="1" applyAlignment="1" applyProtection="1">
      <alignment horizontal="center" textRotation="90" wrapText="1"/>
    </xf>
    <xf numFmtId="0" fontId="5" fillId="0" borderId="7" xfId="0" applyFont="1" applyBorder="1" applyProtection="1"/>
    <xf numFmtId="0" fontId="6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/>
    <xf numFmtId="0" fontId="13" fillId="0" borderId="10" xfId="0" applyFont="1" applyBorder="1"/>
    <xf numFmtId="0" fontId="0" fillId="0" borderId="10" xfId="0" applyBorder="1"/>
    <xf numFmtId="0" fontId="0" fillId="0" borderId="7" xfId="0" applyBorder="1"/>
    <xf numFmtId="0" fontId="0" fillId="0" borderId="24" xfId="0" applyBorder="1"/>
    <xf numFmtId="0" fontId="0" fillId="0" borderId="9" xfId="0" applyBorder="1"/>
    <xf numFmtId="0" fontId="0" fillId="0" borderId="25" xfId="0" applyBorder="1"/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2" fontId="6" fillId="0" borderId="0" xfId="0" applyNumberFormat="1" applyFont="1" applyBorder="1" applyAlignment="1" applyProtection="1">
      <alignment horizontal="center"/>
    </xf>
    <xf numFmtId="2" fontId="6" fillId="4" borderId="0" xfId="0" applyNumberFormat="1" applyFont="1" applyFill="1" applyAlignment="1" applyProtection="1">
      <alignment horizontal="center"/>
    </xf>
    <xf numFmtId="2" fontId="6" fillId="6" borderId="19" xfId="0" applyNumberFormat="1" applyFont="1" applyFill="1" applyBorder="1" applyAlignment="1" applyProtection="1">
      <alignment horizontal="center"/>
    </xf>
    <xf numFmtId="2" fontId="0" fillId="0" borderId="0" xfId="0" applyNumberFormat="1" applyProtection="1"/>
    <xf numFmtId="2" fontId="6" fillId="3" borderId="24" xfId="0" applyNumberFormat="1" applyFont="1" applyFill="1" applyBorder="1" applyAlignment="1" applyProtection="1">
      <alignment horizontal="center"/>
    </xf>
    <xf numFmtId="2" fontId="6" fillId="3" borderId="18" xfId="0" applyNumberFormat="1" applyFont="1" applyFill="1" applyBorder="1" applyAlignment="1" applyProtection="1">
      <alignment horizontal="center"/>
    </xf>
    <xf numFmtId="2" fontId="6" fillId="0" borderId="18" xfId="0" applyNumberFormat="1" applyFont="1" applyBorder="1" applyAlignment="1" applyProtection="1">
      <alignment horizontal="center"/>
    </xf>
    <xf numFmtId="2" fontId="6" fillId="3" borderId="25" xfId="0" applyNumberFormat="1" applyFont="1" applyFill="1" applyBorder="1" applyAlignment="1" applyProtection="1">
      <alignment horizontal="center"/>
    </xf>
    <xf numFmtId="2" fontId="6" fillId="0" borderId="7" xfId="0" applyNumberFormat="1" applyFont="1" applyBorder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23" fillId="2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1" fillId="0" borderId="0" xfId="0" applyFont="1" applyProtection="1"/>
    <xf numFmtId="0" fontId="5" fillId="0" borderId="0" xfId="0" applyFont="1" applyProtection="1">
      <protection locked="0"/>
    </xf>
    <xf numFmtId="0" fontId="2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3" fillId="0" borderId="0" xfId="0" applyFont="1" applyProtection="1"/>
    <xf numFmtId="0" fontId="0" fillId="0" borderId="10" xfId="0" applyBorder="1" applyAlignment="1">
      <alignment horizontal="center"/>
    </xf>
    <xf numFmtId="0" fontId="15" fillId="7" borderId="10" xfId="0" applyFont="1" applyFill="1" applyBorder="1" applyAlignment="1" applyProtection="1">
      <alignment horizontal="center"/>
    </xf>
    <xf numFmtId="0" fontId="10" fillId="3" borderId="0" xfId="0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0" fontId="10" fillId="3" borderId="0" xfId="0" applyFont="1" applyFill="1"/>
    <xf numFmtId="0" fontId="13" fillId="0" borderId="10" xfId="0" applyFont="1" applyBorder="1" applyAlignment="1">
      <alignment horizontal="left"/>
    </xf>
    <xf numFmtId="0" fontId="4" fillId="0" borderId="0" xfId="0" applyFont="1"/>
    <xf numFmtId="0" fontId="30" fillId="0" borderId="0" xfId="0" applyFont="1" applyAlignment="1" applyProtection="1">
      <alignment horizontal="right"/>
    </xf>
    <xf numFmtId="0" fontId="30" fillId="0" borderId="0" xfId="0" applyFont="1" applyProtection="1"/>
    <xf numFmtId="0" fontId="0" fillId="0" borderId="0" xfId="0" applyBorder="1" applyProtection="1"/>
    <xf numFmtId="167" fontId="6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2" fontId="6" fillId="0" borderId="0" xfId="0" applyNumberFormat="1" applyFont="1" applyProtection="1"/>
    <xf numFmtId="0" fontId="10" fillId="0" borderId="0" xfId="0" applyFont="1" applyFill="1" applyBorder="1" applyProtection="1"/>
    <xf numFmtId="0" fontId="0" fillId="0" borderId="28" xfId="0" applyBorder="1" applyAlignment="1">
      <alignment horizontal="center"/>
    </xf>
    <xf numFmtId="0" fontId="13" fillId="0" borderId="1" xfId="0" applyFont="1" applyBorder="1"/>
    <xf numFmtId="0" fontId="0" fillId="0" borderId="28" xfId="0" applyBorder="1"/>
    <xf numFmtId="0" fontId="4" fillId="0" borderId="6" xfId="0" applyFont="1" applyBorder="1"/>
    <xf numFmtId="0" fontId="5" fillId="0" borderId="0" xfId="0" applyFont="1" applyFill="1" applyBorder="1" applyProtection="1">
      <protection locked="0"/>
    </xf>
    <xf numFmtId="0" fontId="38" fillId="9" borderId="0" xfId="0" applyFont="1" applyFill="1" applyBorder="1" applyAlignment="1" applyProtection="1">
      <protection locked="0"/>
    </xf>
    <xf numFmtId="0" fontId="39" fillId="9" borderId="0" xfId="0" applyFont="1" applyFill="1" applyBorder="1" applyAlignment="1" applyProtection="1">
      <alignment horizontal="center"/>
      <protection locked="0"/>
    </xf>
    <xf numFmtId="0" fontId="40" fillId="9" borderId="0" xfId="0" applyNumberFormat="1" applyFont="1" applyFill="1" applyBorder="1" applyAlignment="1" applyProtection="1">
      <alignment horizontal="left"/>
      <protection locked="0"/>
    </xf>
    <xf numFmtId="0" fontId="40" fillId="9" borderId="45" xfId="0" applyFont="1" applyFill="1" applyBorder="1" applyProtection="1"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3" borderId="10" xfId="0" applyFont="1" applyFill="1" applyBorder="1" applyAlignment="1" applyProtection="1">
      <alignment horizontal="left"/>
    </xf>
    <xf numFmtId="0" fontId="6" fillId="3" borderId="31" xfId="0" applyFont="1" applyFill="1" applyBorder="1" applyAlignment="1" applyProtection="1">
      <alignment horizontal="center" textRotation="90" wrapText="1"/>
    </xf>
    <xf numFmtId="2" fontId="6" fillId="3" borderId="31" xfId="0" applyNumberFormat="1" applyFont="1" applyFill="1" applyBorder="1" applyAlignment="1" applyProtection="1">
      <alignment horizontal="center" textRotation="90" wrapText="1"/>
    </xf>
    <xf numFmtId="0" fontId="21" fillId="0" borderId="46" xfId="0" applyFont="1" applyBorder="1" applyProtection="1"/>
    <xf numFmtId="0" fontId="0" fillId="0" borderId="47" xfId="0" applyBorder="1" applyProtection="1"/>
    <xf numFmtId="0" fontId="27" fillId="0" borderId="47" xfId="0" applyFont="1" applyBorder="1" applyProtection="1"/>
    <xf numFmtId="0" fontId="0" fillId="0" borderId="48" xfId="0" applyBorder="1" applyProtection="1"/>
    <xf numFmtId="0" fontId="0" fillId="0" borderId="49" xfId="0" applyBorder="1" applyProtection="1"/>
    <xf numFmtId="0" fontId="27" fillId="0" borderId="0" xfId="0" applyFont="1" applyBorder="1" applyProtection="1"/>
    <xf numFmtId="0" fontId="0" fillId="8" borderId="49" xfId="0" applyFill="1" applyBorder="1" applyProtection="1"/>
    <xf numFmtId="0" fontId="0" fillId="8" borderId="0" xfId="0" applyFill="1" applyBorder="1" applyProtection="1"/>
    <xf numFmtId="0" fontId="29" fillId="8" borderId="0" xfId="0" applyFont="1" applyFill="1" applyBorder="1" applyProtection="1"/>
    <xf numFmtId="0" fontId="27" fillId="8" borderId="0" xfId="0" applyFont="1" applyFill="1" applyBorder="1" applyProtection="1"/>
    <xf numFmtId="0" fontId="0" fillId="8" borderId="45" xfId="0" applyFill="1" applyBorder="1" applyProtection="1"/>
    <xf numFmtId="0" fontId="10" fillId="0" borderId="49" xfId="0" applyFont="1" applyBorder="1" applyProtection="1"/>
    <xf numFmtId="0" fontId="41" fillId="0" borderId="0" xfId="0" applyFont="1" applyProtection="1"/>
    <xf numFmtId="0" fontId="26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0" borderId="0" xfId="0" applyFont="1" applyBorder="1" applyAlignment="1" applyProtection="1">
      <alignment wrapText="1"/>
    </xf>
    <xf numFmtId="0" fontId="41" fillId="0" borderId="0" xfId="0" applyFont="1" applyAlignment="1" applyProtection="1">
      <alignment horizontal="right"/>
    </xf>
    <xf numFmtId="0" fontId="10" fillId="0" borderId="49" xfId="0" applyFont="1" applyFill="1" applyBorder="1" applyProtection="1"/>
    <xf numFmtId="0" fontId="27" fillId="0" borderId="0" xfId="0" applyFont="1" applyFill="1" applyBorder="1" applyProtection="1"/>
    <xf numFmtId="0" fontId="13" fillId="0" borderId="0" xfId="0" applyFont="1" applyBorder="1" applyProtection="1"/>
    <xf numFmtId="0" fontId="28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14" fontId="27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33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left"/>
    </xf>
    <xf numFmtId="0" fontId="34" fillId="0" borderId="0" xfId="1" applyFont="1" applyFill="1" applyBorder="1" applyAlignment="1" applyProtection="1"/>
    <xf numFmtId="0" fontId="0" fillId="0" borderId="0" xfId="0" applyFill="1" applyBorder="1" applyAlignment="1" applyProtection="1"/>
    <xf numFmtId="0" fontId="35" fillId="0" borderId="0" xfId="0" applyFont="1" applyFill="1" applyBorder="1" applyAlignment="1" applyProtection="1"/>
    <xf numFmtId="0" fontId="0" fillId="0" borderId="0" xfId="0" applyFill="1" applyBorder="1" applyAlignment="1" applyProtection="1">
      <alignment vertical="top"/>
    </xf>
    <xf numFmtId="0" fontId="13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27" fillId="0" borderId="0" xfId="0" applyFont="1" applyProtection="1"/>
    <xf numFmtId="0" fontId="0" fillId="0" borderId="0" xfId="0" applyFill="1" applyBorder="1" applyAlignment="1" applyProtection="1">
      <alignment horizontal="left"/>
    </xf>
    <xf numFmtId="0" fontId="42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4" fillId="0" borderId="17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45" xfId="0" applyFill="1" applyBorder="1" applyProtection="1">
      <protection locked="0"/>
    </xf>
    <xf numFmtId="0" fontId="38" fillId="9" borderId="45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</xf>
    <xf numFmtId="0" fontId="10" fillId="0" borderId="45" xfId="0" applyFont="1" applyFill="1" applyBorder="1" applyProtection="1"/>
    <xf numFmtId="0" fontId="9" fillId="0" borderId="45" xfId="0" applyFont="1" applyFill="1" applyBorder="1" applyAlignment="1" applyProtection="1">
      <alignment horizontal="center" vertical="center"/>
    </xf>
    <xf numFmtId="0" fontId="46" fillId="0" borderId="49" xfId="1" applyFont="1" applyFill="1" applyBorder="1" applyAlignment="1" applyProtection="1"/>
    <xf numFmtId="0" fontId="20" fillId="0" borderId="45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0" fillId="0" borderId="45" xfId="0" applyFill="1" applyBorder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Fill="1" applyBorder="1" applyProtection="1"/>
    <xf numFmtId="1" fontId="6" fillId="0" borderId="0" xfId="0" applyNumberFormat="1" applyFont="1" applyProtection="1"/>
    <xf numFmtId="0" fontId="4" fillId="0" borderId="0" xfId="0" applyFont="1" applyBorder="1"/>
    <xf numFmtId="0" fontId="47" fillId="0" borderId="55" xfId="0" applyFont="1" applyFill="1" applyBorder="1" applyAlignment="1" applyProtection="1">
      <alignment vertical="top"/>
    </xf>
    <xf numFmtId="0" fontId="47" fillId="0" borderId="35" xfId="0" applyFont="1" applyFill="1" applyBorder="1" applyAlignment="1" applyProtection="1">
      <alignment vertical="top"/>
    </xf>
    <xf numFmtId="0" fontId="47" fillId="0" borderId="56" xfId="0" applyFont="1" applyFill="1" applyBorder="1" applyAlignment="1" applyProtection="1">
      <alignment vertical="top"/>
    </xf>
    <xf numFmtId="0" fontId="0" fillId="0" borderId="0" xfId="0" applyAlignment="1" applyProtection="1">
      <alignment horizontal="left"/>
      <protection locked="0"/>
    </xf>
    <xf numFmtId="0" fontId="47" fillId="0" borderId="35" xfId="0" applyFont="1" applyFill="1" applyBorder="1" applyAlignment="1" applyProtection="1">
      <alignment vertical="top"/>
      <protection locked="0"/>
    </xf>
    <xf numFmtId="0" fontId="0" fillId="0" borderId="23" xfId="0" applyBorder="1" applyProtection="1"/>
    <xf numFmtId="0" fontId="0" fillId="0" borderId="27" xfId="0" applyBorder="1" applyProtection="1"/>
    <xf numFmtId="0" fontId="9" fillId="0" borderId="26" xfId="0" applyFont="1" applyBorder="1" applyAlignment="1" applyProtection="1">
      <alignment horizontal="center"/>
    </xf>
    <xf numFmtId="0" fontId="10" fillId="3" borderId="0" xfId="0" applyFont="1" applyFill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10" xfId="0" applyFont="1" applyFill="1" applyBorder="1" applyProtection="1"/>
    <xf numFmtId="0" fontId="0" fillId="5" borderId="10" xfId="0" applyFill="1" applyBorder="1" applyProtection="1"/>
    <xf numFmtId="167" fontId="15" fillId="0" borderId="10" xfId="0" applyNumberFormat="1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167" fontId="6" fillId="0" borderId="9" xfId="0" applyNumberFormat="1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0" xfId="0" applyBorder="1" applyProtection="1"/>
    <xf numFmtId="2" fontId="0" fillId="5" borderId="10" xfId="0" applyNumberFormat="1" applyFill="1" applyBorder="1" applyProtection="1"/>
    <xf numFmtId="0" fontId="6" fillId="5" borderId="9" xfId="0" applyFont="1" applyFill="1" applyBorder="1" applyProtection="1"/>
    <xf numFmtId="0" fontId="6" fillId="0" borderId="0" xfId="0" applyNumberFormat="1" applyFont="1" applyProtection="1"/>
    <xf numFmtId="1" fontId="0" fillId="0" borderId="0" xfId="0" applyNumberFormat="1" applyProtection="1"/>
    <xf numFmtId="15" fontId="30" fillId="0" borderId="45" xfId="0" applyNumberFormat="1" applyFont="1" applyBorder="1" applyAlignment="1" applyProtection="1">
      <alignment horizontal="right"/>
    </xf>
    <xf numFmtId="0" fontId="23" fillId="2" borderId="0" xfId="0" applyFont="1" applyFill="1" applyAlignment="1" applyProtection="1">
      <alignment horizontal="center" wrapText="1"/>
    </xf>
    <xf numFmtId="167" fontId="6" fillId="0" borderId="16" xfId="0" applyNumberFormat="1" applyFont="1" applyFill="1" applyBorder="1" applyAlignment="1" applyProtection="1">
      <alignment horizontal="center"/>
    </xf>
    <xf numFmtId="164" fontId="6" fillId="0" borderId="16" xfId="0" applyNumberFormat="1" applyFont="1" applyFill="1" applyBorder="1" applyAlignment="1" applyProtection="1">
      <alignment horizontal="center"/>
    </xf>
    <xf numFmtId="14" fontId="48" fillId="13" borderId="52" xfId="0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/>
    </xf>
    <xf numFmtId="1" fontId="6" fillId="0" borderId="16" xfId="0" applyNumberFormat="1" applyFont="1" applyBorder="1" applyAlignment="1" applyProtection="1">
      <alignment horizontal="center"/>
    </xf>
    <xf numFmtId="1" fontId="6" fillId="0" borderId="16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0" fontId="6" fillId="0" borderId="10" xfId="0" applyFont="1" applyBorder="1" applyAlignment="1" applyProtection="1">
      <alignment horizontal="center"/>
    </xf>
    <xf numFmtId="0" fontId="6" fillId="0" borderId="26" xfId="0" applyFont="1" applyBorder="1" applyProtection="1"/>
    <xf numFmtId="0" fontId="6" fillId="0" borderId="23" xfId="0" applyFont="1" applyBorder="1" applyProtection="1"/>
    <xf numFmtId="0" fontId="6" fillId="0" borderId="23" xfId="0" applyFont="1" applyBorder="1" applyAlignment="1" applyProtection="1">
      <alignment horizontal="center"/>
    </xf>
    <xf numFmtId="2" fontId="6" fillId="0" borderId="10" xfId="0" applyNumberFormat="1" applyFont="1" applyBorder="1" applyAlignment="1" applyProtection="1">
      <alignment horizontal="center"/>
    </xf>
    <xf numFmtId="0" fontId="45" fillId="0" borderId="0" xfId="0" applyFont="1" applyFill="1" applyBorder="1" applyAlignment="1" applyProtection="1">
      <alignment horizontal="center" vertical="top" wrapText="1"/>
    </xf>
    <xf numFmtId="0" fontId="6" fillId="0" borderId="8" xfId="0" applyFont="1" applyFill="1" applyBorder="1" applyProtection="1"/>
    <xf numFmtId="0" fontId="6" fillId="0" borderId="62" xfId="0" applyFont="1" applyFill="1" applyBorder="1" applyProtection="1"/>
    <xf numFmtId="14" fontId="12" fillId="0" borderId="0" xfId="0" applyNumberFormat="1" applyFont="1" applyAlignment="1" applyProtection="1">
      <alignment horizontal="left"/>
    </xf>
    <xf numFmtId="0" fontId="6" fillId="0" borderId="41" xfId="0" applyFont="1" applyBorder="1" applyAlignment="1" applyProtection="1">
      <alignment horizontal="center"/>
    </xf>
    <xf numFmtId="164" fontId="6" fillId="0" borderId="63" xfId="0" applyNumberFormat="1" applyFont="1" applyFill="1" applyBorder="1" applyAlignment="1" applyProtection="1">
      <alignment horizontal="center"/>
    </xf>
    <xf numFmtId="164" fontId="6" fillId="0" borderId="62" xfId="0" applyNumberFormat="1" applyFont="1" applyFill="1" applyBorder="1" applyAlignment="1" applyProtection="1">
      <alignment horizontal="center"/>
    </xf>
    <xf numFmtId="2" fontId="6" fillId="0" borderId="63" xfId="0" applyNumberFormat="1" applyFont="1" applyFill="1" applyBorder="1" applyAlignment="1" applyProtection="1">
      <alignment horizontal="center"/>
    </xf>
    <xf numFmtId="2" fontId="6" fillId="0" borderId="62" xfId="0" applyNumberFormat="1" applyFont="1" applyFill="1" applyBorder="1" applyAlignment="1" applyProtection="1">
      <alignment horizontal="center"/>
    </xf>
    <xf numFmtId="2" fontId="6" fillId="0" borderId="64" xfId="0" applyNumberFormat="1" applyFont="1" applyFill="1" applyBorder="1" applyAlignment="1" applyProtection="1">
      <alignment horizontal="center"/>
    </xf>
    <xf numFmtId="2" fontId="6" fillId="0" borderId="65" xfId="0" applyNumberFormat="1" applyFont="1" applyFill="1" applyBorder="1" applyAlignment="1" applyProtection="1">
      <alignment horizontal="center"/>
    </xf>
    <xf numFmtId="2" fontId="6" fillId="0" borderId="66" xfId="0" applyNumberFormat="1" applyFont="1" applyBorder="1" applyAlignment="1" applyProtection="1">
      <alignment horizontal="center"/>
    </xf>
    <xf numFmtId="0" fontId="6" fillId="4" borderId="63" xfId="0" applyFont="1" applyFill="1" applyBorder="1" applyAlignment="1" applyProtection="1">
      <alignment horizontal="center" textRotation="90"/>
    </xf>
    <xf numFmtId="0" fontId="6" fillId="4" borderId="62" xfId="0" applyFont="1" applyFill="1" applyBorder="1" applyAlignment="1" applyProtection="1">
      <alignment horizontal="center" textRotation="90"/>
    </xf>
    <xf numFmtId="0" fontId="6" fillId="0" borderId="63" xfId="0" applyFont="1" applyFill="1" applyBorder="1" applyProtection="1"/>
    <xf numFmtId="0" fontId="6" fillId="0" borderId="62" xfId="0" applyFont="1" applyFill="1" applyBorder="1" applyAlignment="1" applyProtection="1">
      <alignment horizontal="center"/>
    </xf>
    <xf numFmtId="1" fontId="6" fillId="0" borderId="63" xfId="0" applyNumberFormat="1" applyFont="1" applyFill="1" applyBorder="1" applyAlignment="1" applyProtection="1">
      <alignment horizontal="center"/>
    </xf>
    <xf numFmtId="0" fontId="6" fillId="4" borderId="63" xfId="0" applyFont="1" applyFill="1" applyBorder="1" applyAlignment="1" applyProtection="1">
      <alignment horizontal="center"/>
    </xf>
    <xf numFmtId="0" fontId="6" fillId="4" borderId="62" xfId="0" applyFont="1" applyFill="1" applyBorder="1" applyAlignment="1" applyProtection="1">
      <alignment horizontal="center"/>
    </xf>
    <xf numFmtId="1" fontId="6" fillId="0" borderId="62" xfId="0" applyNumberFormat="1" applyFont="1" applyFill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/>
    </xf>
    <xf numFmtId="0" fontId="6" fillId="0" borderId="62" xfId="0" applyFont="1" applyBorder="1" applyAlignment="1" applyProtection="1">
      <alignment horizontal="center"/>
    </xf>
    <xf numFmtId="0" fontId="6" fillId="0" borderId="63" xfId="0" applyFont="1" applyBorder="1" applyProtection="1"/>
    <xf numFmtId="2" fontId="6" fillId="0" borderId="62" xfId="0" applyNumberFormat="1" applyFont="1" applyBorder="1" applyAlignment="1" applyProtection="1">
      <alignment horizontal="center"/>
    </xf>
    <xf numFmtId="0" fontId="6" fillId="0" borderId="16" xfId="0" applyFont="1" applyFill="1" applyBorder="1" applyProtection="1"/>
    <xf numFmtId="166" fontId="6" fillId="0" borderId="63" xfId="0" applyNumberFormat="1" applyFont="1" applyBorder="1" applyAlignment="1" applyProtection="1">
      <alignment horizontal="center"/>
    </xf>
    <xf numFmtId="166" fontId="6" fillId="4" borderId="63" xfId="0" applyNumberFormat="1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7" fontId="6" fillId="0" borderId="63" xfId="0" applyNumberFormat="1" applyFont="1" applyFill="1" applyBorder="1" applyAlignment="1" applyProtection="1">
      <alignment horizontal="center"/>
    </xf>
    <xf numFmtId="167" fontId="6" fillId="0" borderId="62" xfId="0" applyNumberFormat="1" applyFont="1" applyFill="1" applyBorder="1" applyAlignment="1" applyProtection="1">
      <alignment horizontal="center"/>
    </xf>
    <xf numFmtId="167" fontId="6" fillId="0" borderId="16" xfId="0" applyNumberFormat="1" applyFont="1" applyBorder="1" applyAlignment="1" applyProtection="1">
      <alignment horizontal="center"/>
    </xf>
    <xf numFmtId="166" fontId="6" fillId="0" borderId="63" xfId="0" applyNumberFormat="1" applyFont="1" applyFill="1" applyBorder="1" applyAlignment="1" applyProtection="1">
      <alignment horizontal="center"/>
    </xf>
    <xf numFmtId="166" fontId="6" fillId="0" borderId="62" xfId="0" applyNumberFormat="1" applyFont="1" applyFill="1" applyBorder="1" applyAlignment="1" applyProtection="1">
      <alignment horizontal="center"/>
    </xf>
    <xf numFmtId="166" fontId="6" fillId="0" borderId="16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6" fillId="14" borderId="0" xfId="0" applyFont="1" applyFill="1" applyProtection="1"/>
    <xf numFmtId="166" fontId="6" fillId="14" borderId="0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167" fontId="6" fillId="14" borderId="0" xfId="0" applyNumberFormat="1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167" fontId="16" fillId="0" borderId="0" xfId="0" applyNumberFormat="1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23" fillId="15" borderId="0" xfId="0" applyFont="1" applyFill="1" applyAlignment="1" applyProtection="1">
      <alignment horizontal="center"/>
    </xf>
    <xf numFmtId="0" fontId="0" fillId="0" borderId="0" xfId="0" applyNumberFormat="1"/>
    <xf numFmtId="0" fontId="52" fillId="0" borderId="67" xfId="0" applyNumberFormat="1" applyFont="1" applyBorder="1" applyAlignment="1">
      <alignment horizontal="center" vertical="top" wrapText="1"/>
    </xf>
    <xf numFmtId="0" fontId="52" fillId="0" borderId="67" xfId="0" applyFont="1" applyBorder="1" applyAlignment="1">
      <alignment horizontal="center" vertical="top" wrapText="1"/>
    </xf>
    <xf numFmtId="0" fontId="52" fillId="0" borderId="68" xfId="0" applyNumberFormat="1" applyFont="1" applyBorder="1" applyAlignment="1">
      <alignment horizontal="center" vertical="top" wrapText="1"/>
    </xf>
    <xf numFmtId="0" fontId="52" fillId="0" borderId="68" xfId="0" applyFont="1" applyBorder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justify" vertical="top" wrapText="1"/>
    </xf>
    <xf numFmtId="0" fontId="53" fillId="0" borderId="0" xfId="0" applyFont="1" applyAlignment="1">
      <alignment horizontal="center" wrapText="1"/>
    </xf>
    <xf numFmtId="0" fontId="53" fillId="0" borderId="0" xfId="0" applyNumberFormat="1" applyFont="1" applyAlignment="1">
      <alignment horizontal="center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3" fillId="0" borderId="69" xfId="0" applyFont="1" applyBorder="1" applyAlignment="1">
      <alignment vertical="top" wrapText="1"/>
    </xf>
    <xf numFmtId="0" fontId="53" fillId="0" borderId="69" xfId="0" applyFont="1" applyBorder="1" applyAlignment="1">
      <alignment horizontal="justify" vertical="top" wrapText="1"/>
    </xf>
    <xf numFmtId="0" fontId="53" fillId="0" borderId="69" xfId="0" applyFont="1" applyBorder="1" applyAlignment="1">
      <alignment horizontal="center" wrapText="1"/>
    </xf>
    <xf numFmtId="0" fontId="53" fillId="0" borderId="69" xfId="0" applyNumberFormat="1" applyFont="1" applyBorder="1" applyAlignment="1">
      <alignment horizontal="center" wrapText="1"/>
    </xf>
    <xf numFmtId="0" fontId="53" fillId="0" borderId="69" xfId="0" applyFont="1" applyBorder="1" applyAlignment="1">
      <alignment wrapText="1"/>
    </xf>
    <xf numFmtId="0" fontId="14" fillId="16" borderId="70" xfId="2" applyFont="1" applyFill="1" applyBorder="1" applyAlignment="1">
      <alignment horizontal="center"/>
    </xf>
    <xf numFmtId="0" fontId="14" fillId="0" borderId="71" xfId="2" applyFont="1" applyFill="1" applyBorder="1" applyAlignment="1">
      <alignment horizontal="right" wrapText="1"/>
    </xf>
    <xf numFmtId="0" fontId="14" fillId="0" borderId="71" xfId="2" applyFont="1" applyFill="1" applyBorder="1" applyAlignment="1">
      <alignment wrapText="1"/>
    </xf>
    <xf numFmtId="0" fontId="13" fillId="17" borderId="0" xfId="0" applyFont="1" applyFill="1"/>
    <xf numFmtId="0" fontId="13" fillId="2" borderId="72" xfId="0" applyFont="1" applyFill="1" applyBorder="1"/>
    <xf numFmtId="0" fontId="13" fillId="18" borderId="0" xfId="0" applyFont="1" applyFill="1"/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Fill="1" applyBorder="1"/>
    <xf numFmtId="0" fontId="13" fillId="0" borderId="0" xfId="0" applyNumberFormat="1" applyFont="1"/>
    <xf numFmtId="0" fontId="55" fillId="0" borderId="0" xfId="0" applyFont="1"/>
    <xf numFmtId="2" fontId="13" fillId="2" borderId="72" xfId="0" applyNumberFormat="1" applyFont="1" applyFill="1" applyBorder="1"/>
    <xf numFmtId="0" fontId="9" fillId="0" borderId="0" xfId="0" applyFont="1"/>
    <xf numFmtId="164" fontId="9" fillId="0" borderId="0" xfId="0" applyNumberFormat="1" applyFont="1"/>
    <xf numFmtId="0" fontId="9" fillId="18" borderId="0" xfId="0" applyFont="1" applyFill="1"/>
    <xf numFmtId="0" fontId="9" fillId="0" borderId="0" xfId="0" applyFont="1" applyAlignment="1">
      <alignment horizontal="center"/>
    </xf>
    <xf numFmtId="164" fontId="9" fillId="18" borderId="0" xfId="0" applyNumberFormat="1" applyFont="1" applyFill="1"/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wrapText="1"/>
    </xf>
    <xf numFmtId="0" fontId="13" fillId="0" borderId="69" xfId="0" applyFont="1" applyBorder="1" applyAlignment="1">
      <alignment horizontal="justify"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166" fontId="13" fillId="2" borderId="2" xfId="0" applyNumberFormat="1" applyFont="1" applyFill="1" applyBorder="1"/>
    <xf numFmtId="0" fontId="11" fillId="2" borderId="2" xfId="0" applyNumberFormat="1" applyFont="1" applyFill="1" applyBorder="1"/>
    <xf numFmtId="0" fontId="13" fillId="2" borderId="2" xfId="0" applyNumberFormat="1" applyFont="1" applyFill="1" applyBorder="1"/>
    <xf numFmtId="165" fontId="13" fillId="0" borderId="0" xfId="0" applyNumberFormat="1" applyFont="1"/>
    <xf numFmtId="2" fontId="13" fillId="0" borderId="0" xfId="0" applyNumberFormat="1" applyFont="1"/>
    <xf numFmtId="1" fontId="13" fillId="0" borderId="0" xfId="0" applyNumberFormat="1" applyFont="1"/>
    <xf numFmtId="2" fontId="13" fillId="0" borderId="0" xfId="0" applyNumberFormat="1" applyFont="1" applyAlignment="1"/>
    <xf numFmtId="2" fontId="13" fillId="0" borderId="0" xfId="0" applyNumberFormat="1" applyFont="1" applyAlignment="1">
      <alignment wrapText="1"/>
    </xf>
    <xf numFmtId="2" fontId="13" fillId="0" borderId="0" xfId="0" applyNumberFormat="1" applyFont="1" applyBorder="1" applyAlignment="1">
      <alignment wrapText="1"/>
    </xf>
    <xf numFmtId="166" fontId="13" fillId="0" borderId="0" xfId="0" applyNumberFormat="1" applyFont="1"/>
    <xf numFmtId="0" fontId="13" fillId="0" borderId="0" xfId="0" applyFont="1" applyFill="1"/>
    <xf numFmtId="0" fontId="9" fillId="0" borderId="0" xfId="0" applyFont="1" applyBorder="1"/>
    <xf numFmtId="164" fontId="9" fillId="18" borderId="0" xfId="0" applyNumberFormat="1" applyFont="1" applyFill="1" applyBorder="1"/>
    <xf numFmtId="0" fontId="9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/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3" fillId="0" borderId="0" xfId="0" applyFont="1" applyFill="1" applyBorder="1" applyAlignment="1">
      <alignment horizontal="justify" wrapText="1"/>
    </xf>
    <xf numFmtId="0" fontId="13" fillId="2" borderId="2" xfId="0" applyFont="1" applyFill="1" applyBorder="1" applyAlignment="1">
      <alignment horizontal="center"/>
    </xf>
    <xf numFmtId="0" fontId="13" fillId="2" borderId="73" xfId="0" applyFont="1" applyFill="1" applyBorder="1" applyAlignment="1">
      <alignment horizontal="center"/>
    </xf>
    <xf numFmtId="0" fontId="13" fillId="2" borderId="74" xfId="0" applyFont="1" applyFill="1" applyBorder="1" applyAlignment="1">
      <alignment horizontal="center"/>
    </xf>
    <xf numFmtId="0" fontId="13" fillId="2" borderId="75" xfId="0" applyFont="1" applyFill="1" applyBorder="1" applyAlignment="1">
      <alignment horizontal="center"/>
    </xf>
    <xf numFmtId="0" fontId="14" fillId="0" borderId="76" xfId="2" applyFont="1" applyFill="1" applyBorder="1" applyAlignment="1">
      <alignment wrapText="1"/>
    </xf>
    <xf numFmtId="0" fontId="14" fillId="0" borderId="76" xfId="2" applyFont="1" applyFill="1" applyBorder="1" applyAlignment="1">
      <alignment horizontal="right" wrapText="1"/>
    </xf>
    <xf numFmtId="0" fontId="45" fillId="11" borderId="33" xfId="0" applyFont="1" applyFill="1" applyBorder="1" applyAlignment="1" applyProtection="1">
      <alignment vertical="top" wrapText="1"/>
    </xf>
    <xf numFmtId="0" fontId="45" fillId="11" borderId="30" xfId="0" applyFont="1" applyFill="1" applyBorder="1" applyAlignment="1" applyProtection="1">
      <alignment vertical="top" wrapText="1"/>
    </xf>
    <xf numFmtId="0" fontId="45" fillId="11" borderId="36" xfId="0" applyFont="1" applyFill="1" applyBorder="1" applyAlignment="1" applyProtection="1">
      <alignment vertical="top" wrapText="1"/>
    </xf>
    <xf numFmtId="0" fontId="13" fillId="11" borderId="33" xfId="0" applyFont="1" applyFill="1" applyBorder="1" applyAlignment="1" applyProtection="1">
      <alignment vertical="top" wrapText="1"/>
    </xf>
    <xf numFmtId="0" fontId="13" fillId="11" borderId="36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16" fillId="0" borderId="0" xfId="0" applyNumberFormat="1" applyFont="1" applyAlignment="1" applyProtection="1">
      <alignment horizontal="center"/>
    </xf>
    <xf numFmtId="2" fontId="0" fillId="0" borderId="0" xfId="0" applyNumberFormat="1" applyAlignment="1" applyProtection="1">
      <alignment horizontal="right"/>
    </xf>
    <xf numFmtId="0" fontId="17" fillId="14" borderId="0" xfId="0" applyFont="1" applyFill="1" applyAlignment="1" applyProtection="1">
      <alignment horizontal="left"/>
      <protection locked="0"/>
    </xf>
    <xf numFmtId="0" fontId="17" fillId="14" borderId="0" xfId="0" applyFont="1" applyFill="1" applyAlignment="1" applyProtection="1">
      <alignment horizontal="center"/>
      <protection locked="0"/>
    </xf>
    <xf numFmtId="0" fontId="17" fillId="14" borderId="0" xfId="0" applyFont="1" applyFill="1" applyProtection="1">
      <protection locked="0"/>
    </xf>
    <xf numFmtId="167" fontId="17" fillId="14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57" fillId="0" borderId="0" xfId="0" applyFont="1"/>
    <xf numFmtId="0" fontId="57" fillId="0" borderId="0" xfId="0" applyFont="1" applyAlignment="1">
      <alignment horizontal="center"/>
    </xf>
    <xf numFmtId="0" fontId="57" fillId="0" borderId="26" xfId="0" applyFont="1" applyBorder="1"/>
    <xf numFmtId="0" fontId="57" fillId="0" borderId="23" xfId="0" applyFont="1" applyBorder="1" applyAlignment="1">
      <alignment horizontal="center" vertical="center" textRotation="90" wrapText="1"/>
    </xf>
    <xf numFmtId="0" fontId="57" fillId="0" borderId="27" xfId="0" applyFont="1" applyBorder="1" applyAlignment="1">
      <alignment horizontal="center" vertical="center" textRotation="90" wrapText="1"/>
    </xf>
    <xf numFmtId="0" fontId="57" fillId="0" borderId="1" xfId="0" applyFont="1" applyBorder="1" applyAlignment="1">
      <alignment horizontal="center" vertical="center" textRotation="90" wrapText="1"/>
    </xf>
    <xf numFmtId="0" fontId="57" fillId="0" borderId="0" xfId="0" applyFont="1" applyAlignment="1">
      <alignment horizontal="center" vertical="center"/>
    </xf>
    <xf numFmtId="0" fontId="57" fillId="0" borderId="18" xfId="0" applyFont="1" applyBorder="1" applyAlignment="1">
      <alignment horizontal="center"/>
    </xf>
    <xf numFmtId="0" fontId="57" fillId="0" borderId="79" xfId="0" applyNumberFormat="1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57" fillId="0" borderId="79" xfId="0" applyFont="1" applyBorder="1" applyAlignment="1">
      <alignment horizontal="center"/>
    </xf>
    <xf numFmtId="2" fontId="57" fillId="0" borderId="79" xfId="0" applyNumberFormat="1" applyFont="1" applyBorder="1" applyAlignment="1">
      <alignment horizontal="center"/>
    </xf>
    <xf numFmtId="1" fontId="57" fillId="0" borderId="79" xfId="0" applyNumberFormat="1" applyFont="1" applyBorder="1" applyAlignment="1">
      <alignment horizontal="center"/>
    </xf>
    <xf numFmtId="0" fontId="57" fillId="0" borderId="10" xfId="0" applyFont="1" applyBorder="1"/>
    <xf numFmtId="0" fontId="57" fillId="0" borderId="10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57" fillId="0" borderId="0" xfId="0" applyFont="1" applyAlignment="1"/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5" fontId="57" fillId="0" borderId="0" xfId="0" applyNumberFormat="1" applyFont="1"/>
    <xf numFmtId="0" fontId="57" fillId="0" borderId="0" xfId="0" applyFont="1" applyAlignment="1">
      <alignment horizontal="center" vertical="center" textRotation="90"/>
    </xf>
    <xf numFmtId="0" fontId="59" fillId="0" borderId="0" xfId="0" applyFont="1" applyAlignment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textRotation="90"/>
    </xf>
    <xf numFmtId="0" fontId="8" fillId="4" borderId="0" xfId="0" applyFont="1" applyFill="1" applyBorder="1" applyAlignment="1" applyProtection="1">
      <alignment horizontal="center" textRotation="1"/>
    </xf>
    <xf numFmtId="0" fontId="13" fillId="0" borderId="0" xfId="0" applyFont="1" applyAlignment="1">
      <alignment horizontal="center"/>
    </xf>
    <xf numFmtId="0" fontId="6" fillId="19" borderId="0" xfId="0" applyFont="1" applyFill="1" applyAlignment="1" applyProtection="1">
      <alignment horizontal="center"/>
    </xf>
    <xf numFmtId="166" fontId="6" fillId="19" borderId="0" xfId="0" applyNumberFormat="1" applyFont="1" applyFill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 applyAlignment="1" applyProtection="1">
      <alignment horizontal="center"/>
    </xf>
    <xf numFmtId="166" fontId="0" fillId="0" borderId="0" xfId="0" applyNumberFormat="1" applyProtection="1"/>
    <xf numFmtId="0" fontId="90" fillId="14" borderId="0" xfId="0" applyFont="1" applyFill="1" applyProtection="1">
      <protection locked="0"/>
    </xf>
    <xf numFmtId="0" fontId="0" fillId="0" borderId="7" xfId="0" applyBorder="1" applyAlignment="1">
      <alignment horizontal="center"/>
    </xf>
    <xf numFmtId="0" fontId="13" fillId="0" borderId="0" xfId="0" applyFont="1" applyProtection="1">
      <protection locked="0"/>
    </xf>
    <xf numFmtId="14" fontId="40" fillId="9" borderId="0" xfId="0" applyNumberFormat="1" applyFont="1" applyFill="1" applyBorder="1" applyAlignment="1" applyProtection="1">
      <alignment horizontal="left"/>
      <protection locked="0"/>
    </xf>
    <xf numFmtId="14" fontId="40" fillId="9" borderId="45" xfId="0" applyNumberFormat="1" applyFont="1" applyFill="1" applyBorder="1" applyAlignment="1" applyProtection="1">
      <alignment horizontal="left"/>
      <protection locked="0"/>
    </xf>
    <xf numFmtId="0" fontId="38" fillId="9" borderId="0" xfId="0" applyFont="1" applyFill="1" applyBorder="1" applyAlignment="1" applyProtection="1">
      <alignment horizontal="left"/>
      <protection locked="0"/>
    </xf>
    <xf numFmtId="0" fontId="38" fillId="9" borderId="45" xfId="0" applyFont="1" applyFill="1" applyBorder="1" applyAlignment="1" applyProtection="1">
      <alignment horizontal="left"/>
      <protection locked="0"/>
    </xf>
    <xf numFmtId="0" fontId="38" fillId="9" borderId="0" xfId="0" applyFont="1" applyFill="1" applyBorder="1" applyAlignment="1" applyProtection="1">
      <alignment horizontal="left" vertical="top"/>
      <protection locked="0"/>
    </xf>
    <xf numFmtId="0" fontId="38" fillId="9" borderId="45" xfId="0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 vertical="top"/>
    </xf>
    <xf numFmtId="0" fontId="13" fillId="10" borderId="53" xfId="0" applyFont="1" applyFill="1" applyBorder="1" applyAlignment="1" applyProtection="1">
      <alignment horizontal="center" vertical="top" wrapText="1"/>
    </xf>
    <xf numFmtId="0" fontId="0" fillId="10" borderId="14" xfId="0" applyFill="1" applyBorder="1" applyAlignment="1" applyProtection="1">
      <alignment horizontal="center" vertical="top" wrapText="1"/>
    </xf>
    <xf numFmtId="0" fontId="0" fillId="10" borderId="54" xfId="0" applyFill="1" applyBorder="1" applyAlignment="1" applyProtection="1">
      <alignment horizontal="center" vertical="top" wrapText="1"/>
    </xf>
    <xf numFmtId="0" fontId="0" fillId="10" borderId="77" xfId="0" applyFill="1" applyBorder="1" applyAlignment="1" applyProtection="1">
      <alignment horizontal="center" vertical="top" wrapText="1"/>
    </xf>
    <xf numFmtId="0" fontId="0" fillId="10" borderId="10" xfId="0" applyFill="1" applyBorder="1" applyAlignment="1" applyProtection="1">
      <alignment horizontal="center" vertical="top" wrapText="1"/>
    </xf>
    <xf numFmtId="0" fontId="0" fillId="10" borderId="78" xfId="0" applyFill="1" applyBorder="1" applyAlignment="1" applyProtection="1">
      <alignment horizontal="center" vertical="top" wrapText="1"/>
    </xf>
    <xf numFmtId="0" fontId="6" fillId="10" borderId="53" xfId="0" applyFont="1" applyFill="1" applyBorder="1" applyAlignment="1" applyProtection="1">
      <alignment horizontal="left" vertical="top" wrapText="1"/>
    </xf>
    <xf numFmtId="0" fontId="6" fillId="10" borderId="14" xfId="0" applyFont="1" applyFill="1" applyBorder="1" applyAlignment="1" applyProtection="1">
      <alignment horizontal="left" vertical="top" wrapText="1"/>
    </xf>
    <xf numFmtId="0" fontId="6" fillId="10" borderId="54" xfId="0" applyFont="1" applyFill="1" applyBorder="1" applyAlignment="1" applyProtection="1">
      <alignment horizontal="left" vertical="top" wrapText="1"/>
    </xf>
    <xf numFmtId="0" fontId="6" fillId="10" borderId="57" xfId="0" applyFont="1" applyFill="1" applyBorder="1" applyAlignment="1" applyProtection="1">
      <alignment horizontal="left" vertical="top" wrapText="1"/>
    </xf>
    <xf numFmtId="0" fontId="6" fillId="10" borderId="58" xfId="0" applyFont="1" applyFill="1" applyBorder="1" applyAlignment="1" applyProtection="1">
      <alignment horizontal="left" vertical="top" wrapText="1"/>
    </xf>
    <xf numFmtId="0" fontId="6" fillId="10" borderId="59" xfId="0" applyFont="1" applyFill="1" applyBorder="1" applyAlignment="1" applyProtection="1">
      <alignment horizontal="left" vertical="top" wrapText="1"/>
    </xf>
    <xf numFmtId="14" fontId="27" fillId="0" borderId="0" xfId="0" applyNumberFormat="1" applyFont="1" applyBorder="1" applyAlignment="1" applyProtection="1">
      <alignment horizontal="left"/>
      <protection locked="0"/>
    </xf>
    <xf numFmtId="14" fontId="27" fillId="0" borderId="45" xfId="0" applyNumberFormat="1" applyFont="1" applyBorder="1" applyAlignment="1" applyProtection="1">
      <alignment horizontal="left"/>
      <protection locked="0"/>
    </xf>
    <xf numFmtId="0" fontId="48" fillId="13" borderId="53" xfId="0" applyFont="1" applyFill="1" applyBorder="1" applyAlignment="1" applyProtection="1">
      <alignment horizontal="center" vertical="center"/>
    </xf>
    <xf numFmtId="0" fontId="48" fillId="13" borderId="14" xfId="0" applyFont="1" applyFill="1" applyBorder="1" applyAlignment="1" applyProtection="1">
      <alignment horizontal="center" vertical="center"/>
    </xf>
    <xf numFmtId="0" fontId="48" fillId="13" borderId="54" xfId="0" applyFont="1" applyFill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wrapText="1"/>
    </xf>
    <xf numFmtId="0" fontId="19" fillId="7" borderId="0" xfId="0" applyFont="1" applyFill="1" applyAlignment="1" applyProtection="1">
      <alignment horizontal="left"/>
    </xf>
    <xf numFmtId="0" fontId="25" fillId="7" borderId="0" xfId="0" applyFont="1" applyFill="1" applyAlignment="1" applyProtection="1">
      <alignment horizontal="left"/>
    </xf>
    <xf numFmtId="14" fontId="19" fillId="7" borderId="0" xfId="0" applyNumberFormat="1" applyFont="1" applyFill="1" applyAlignment="1" applyProtection="1">
      <alignment horizontal="left"/>
    </xf>
    <xf numFmtId="0" fontId="45" fillId="11" borderId="32" xfId="0" applyFont="1" applyFill="1" applyBorder="1" applyAlignment="1" applyProtection="1">
      <alignment horizontal="center" vertical="top" wrapText="1"/>
    </xf>
    <xf numFmtId="0" fontId="45" fillId="11" borderId="14" xfId="0" applyFont="1" applyFill="1" applyBorder="1" applyAlignment="1" applyProtection="1">
      <alignment horizontal="center" vertical="top" wrapText="1"/>
    </xf>
    <xf numFmtId="0" fontId="45" fillId="11" borderId="29" xfId="0" applyFont="1" applyFill="1" applyBorder="1" applyAlignment="1" applyProtection="1">
      <alignment horizontal="center" vertical="top" wrapText="1"/>
    </xf>
    <xf numFmtId="0" fontId="45" fillId="11" borderId="0" xfId="0" applyFont="1" applyFill="1" applyBorder="1" applyAlignment="1" applyProtection="1">
      <alignment horizontal="center" vertical="top" wrapText="1"/>
    </xf>
    <xf numFmtId="0" fontId="45" fillId="11" borderId="34" xfId="0" applyFont="1" applyFill="1" applyBorder="1" applyAlignment="1" applyProtection="1">
      <alignment horizontal="center" vertical="top" wrapText="1"/>
    </xf>
    <xf numFmtId="0" fontId="45" fillId="11" borderId="35" xfId="0" applyFont="1" applyFill="1" applyBorder="1" applyAlignment="1" applyProtection="1">
      <alignment horizontal="center" vertical="top" wrapText="1"/>
    </xf>
    <xf numFmtId="0" fontId="13" fillId="11" borderId="32" xfId="0" applyFont="1" applyFill="1" applyBorder="1" applyAlignment="1" applyProtection="1">
      <alignment horizontal="center" vertical="top" wrapText="1"/>
    </xf>
    <xf numFmtId="0" fontId="13" fillId="11" borderId="14" xfId="0" applyFont="1" applyFill="1" applyBorder="1" applyAlignment="1" applyProtection="1">
      <alignment horizontal="center" vertical="top" wrapText="1"/>
    </xf>
    <xf numFmtId="0" fontId="13" fillId="11" borderId="34" xfId="0" applyFont="1" applyFill="1" applyBorder="1" applyAlignment="1" applyProtection="1">
      <alignment horizontal="center" vertical="top" wrapText="1"/>
    </xf>
    <xf numFmtId="0" fontId="13" fillId="11" borderId="35" xfId="0" applyFont="1" applyFill="1" applyBorder="1" applyAlignment="1" applyProtection="1">
      <alignment horizontal="center" vertical="top" wrapText="1"/>
    </xf>
    <xf numFmtId="0" fontId="31" fillId="3" borderId="37" xfId="0" applyFont="1" applyFill="1" applyBorder="1" applyAlignment="1" applyProtection="1">
      <alignment horizontal="center"/>
    </xf>
    <xf numFmtId="0" fontId="31" fillId="3" borderId="38" xfId="0" applyFont="1" applyFill="1" applyBorder="1" applyAlignment="1" applyProtection="1">
      <alignment horizontal="center"/>
    </xf>
    <xf numFmtId="0" fontId="31" fillId="3" borderId="39" xfId="0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0" fontId="31" fillId="3" borderId="80" xfId="0" applyFont="1" applyFill="1" applyBorder="1" applyAlignment="1" applyProtection="1">
      <alignment horizontal="center"/>
    </xf>
    <xf numFmtId="0" fontId="31" fillId="3" borderId="7" xfId="0" applyFont="1" applyFill="1" applyBorder="1" applyAlignment="1" applyProtection="1">
      <alignment horizontal="center"/>
    </xf>
    <xf numFmtId="0" fontId="31" fillId="3" borderId="81" xfId="0" applyFont="1" applyFill="1" applyBorder="1" applyAlignment="1" applyProtection="1">
      <alignment horizontal="center"/>
    </xf>
    <xf numFmtId="0" fontId="31" fillId="3" borderId="40" xfId="0" applyFont="1" applyFill="1" applyBorder="1" applyAlignment="1" applyProtection="1">
      <alignment horizontal="center"/>
    </xf>
    <xf numFmtId="0" fontId="31" fillId="3" borderId="23" xfId="0" applyFont="1" applyFill="1" applyBorder="1" applyAlignment="1" applyProtection="1">
      <alignment horizontal="center"/>
    </xf>
    <xf numFmtId="0" fontId="31" fillId="3" borderId="41" xfId="0" applyFont="1" applyFill="1" applyBorder="1" applyAlignment="1" applyProtection="1">
      <alignment horizontal="center"/>
    </xf>
    <xf numFmtId="0" fontId="32" fillId="0" borderId="23" xfId="0" applyFont="1" applyBorder="1" applyAlignment="1" applyProtection="1">
      <alignment horizontal="center"/>
    </xf>
    <xf numFmtId="0" fontId="32" fillId="0" borderId="41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7" fillId="12" borderId="6" xfId="0" applyFont="1" applyFill="1" applyBorder="1" applyAlignment="1" applyProtection="1">
      <alignment horizontal="left" vertical="center"/>
    </xf>
    <xf numFmtId="0" fontId="57" fillId="12" borderId="7" xfId="0" applyFont="1" applyFill="1" applyBorder="1" applyAlignment="1" applyProtection="1">
      <alignment horizontal="left" vertical="center"/>
    </xf>
    <xf numFmtId="0" fontId="57" fillId="12" borderId="24" xfId="0" applyFont="1" applyFill="1" applyBorder="1" applyAlignment="1" applyProtection="1">
      <alignment horizontal="left" vertical="center"/>
    </xf>
    <xf numFmtId="0" fontId="57" fillId="12" borderId="9" xfId="0" applyFont="1" applyFill="1" applyBorder="1" applyAlignment="1" applyProtection="1">
      <alignment horizontal="left" vertical="center"/>
    </xf>
    <xf numFmtId="0" fontId="57" fillId="12" borderId="10" xfId="0" applyFont="1" applyFill="1" applyBorder="1" applyAlignment="1" applyProtection="1">
      <alignment horizontal="left" vertical="center"/>
    </xf>
    <xf numFmtId="0" fontId="57" fillId="12" borderId="25" xfId="0" applyFont="1" applyFill="1" applyBorder="1" applyAlignment="1" applyProtection="1">
      <alignment horizontal="left" vertical="center"/>
    </xf>
    <xf numFmtId="0" fontId="37" fillId="0" borderId="6" xfId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31" fillId="3" borderId="42" xfId="0" applyFont="1" applyFill="1" applyBorder="1" applyAlignment="1" applyProtection="1">
      <alignment horizontal="center"/>
    </xf>
    <xf numFmtId="0" fontId="32" fillId="0" borderId="43" xfId="0" applyFont="1" applyBorder="1" applyAlignment="1" applyProtection="1">
      <alignment horizontal="center"/>
    </xf>
    <xf numFmtId="0" fontId="32" fillId="0" borderId="44" xfId="0" applyFont="1" applyBorder="1" applyAlignment="1" applyProtection="1">
      <alignment horizontal="center"/>
    </xf>
    <xf numFmtId="0" fontId="49" fillId="9" borderId="2" xfId="0" applyFont="1" applyFill="1" applyBorder="1" applyAlignment="1" applyProtection="1">
      <alignment horizontal="center" vertical="center"/>
    </xf>
    <xf numFmtId="0" fontId="49" fillId="9" borderId="60" xfId="0" applyFont="1" applyFill="1" applyBorder="1" applyAlignment="1" applyProtection="1">
      <alignment horizontal="center" vertical="center"/>
    </xf>
    <xf numFmtId="0" fontId="49" fillId="9" borderId="61" xfId="0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/>
    </xf>
    <xf numFmtId="167" fontId="6" fillId="0" borderId="10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2" fillId="0" borderId="67" xfId="0" applyFont="1" applyBorder="1" applyAlignment="1">
      <alignment horizontal="justify" vertical="top" wrapText="1"/>
    </xf>
    <xf numFmtId="0" fontId="52" fillId="0" borderId="68" xfId="0" applyFont="1" applyBorder="1" applyAlignment="1">
      <alignment horizontal="justify" vertical="top" wrapText="1"/>
    </xf>
    <xf numFmtId="0" fontId="52" fillId="0" borderId="67" xfId="0" applyFont="1" applyBorder="1" applyAlignment="1">
      <alignment horizontal="center" vertical="top" wrapText="1"/>
    </xf>
    <xf numFmtId="0" fontId="52" fillId="0" borderId="68" xfId="0" applyFont="1" applyBorder="1" applyAlignment="1">
      <alignment horizontal="center" vertical="top" wrapText="1"/>
    </xf>
    <xf numFmtId="0" fontId="48" fillId="13" borderId="51" xfId="0" applyFont="1" applyFill="1" applyBorder="1" applyAlignment="1" applyProtection="1">
      <alignment horizontal="right" vertical="center" wrapText="1"/>
    </xf>
    <xf numFmtId="0" fontId="48" fillId="13" borderId="50" xfId="0" applyFont="1" applyFill="1" applyBorder="1" applyAlignment="1" applyProtection="1">
      <alignment horizontal="right" vertical="center" wrapText="1"/>
    </xf>
    <xf numFmtId="0" fontId="13" fillId="0" borderId="10" xfId="0" applyFont="1" applyBorder="1" applyAlignment="1" applyProtection="1">
      <alignment horizontal="center"/>
    </xf>
    <xf numFmtId="0" fontId="6" fillId="11" borderId="0" xfId="0" applyFont="1" applyFill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167" fontId="0" fillId="0" borderId="0" xfId="0" applyNumberFormat="1" applyAlignment="1" applyProtection="1">
      <alignment horizontal="right"/>
    </xf>
  </cellXfs>
  <cellStyles count="97">
    <cellStyle name="20% - Accent1" xfId="20" builtinId="30" customBuiltin="1"/>
    <cellStyle name="20% - Accent1 2" xfId="47"/>
    <cellStyle name="20% - Accent1 3" xfId="74"/>
    <cellStyle name="20% - Accent2" xfId="24" builtinId="34" customBuiltin="1"/>
    <cellStyle name="20% - Accent2 2" xfId="49"/>
    <cellStyle name="20% - Accent2 3" xfId="78"/>
    <cellStyle name="20% - Accent3" xfId="28" builtinId="38" customBuiltin="1"/>
    <cellStyle name="20% - Accent3 2" xfId="51"/>
    <cellStyle name="20% - Accent3 3" xfId="82"/>
    <cellStyle name="20% - Accent4" xfId="32" builtinId="42" customBuiltin="1"/>
    <cellStyle name="20% - Accent4 2" xfId="53"/>
    <cellStyle name="20% - Accent4 3" xfId="86"/>
    <cellStyle name="20% - Accent5" xfId="36" builtinId="46" customBuiltin="1"/>
    <cellStyle name="20% - Accent5 2" xfId="55"/>
    <cellStyle name="20% - Accent5 3" xfId="90"/>
    <cellStyle name="20% - Accent6" xfId="40" builtinId="50" customBuiltin="1"/>
    <cellStyle name="20% - Accent6 2" xfId="57"/>
    <cellStyle name="20% - Accent6 3" xfId="94"/>
    <cellStyle name="40% - Accent1" xfId="21" builtinId="31" customBuiltin="1"/>
    <cellStyle name="40% - Accent1 2" xfId="48"/>
    <cellStyle name="40% - Accent1 3" xfId="75"/>
    <cellStyle name="40% - Accent2" xfId="25" builtinId="35" customBuiltin="1"/>
    <cellStyle name="40% - Accent2 2" xfId="50"/>
    <cellStyle name="40% - Accent2 3" xfId="79"/>
    <cellStyle name="40% - Accent3" xfId="29" builtinId="39" customBuiltin="1"/>
    <cellStyle name="40% - Accent3 2" xfId="52"/>
    <cellStyle name="40% - Accent3 3" xfId="83"/>
    <cellStyle name="40% - Accent4" xfId="33" builtinId="43" customBuiltin="1"/>
    <cellStyle name="40% - Accent4 2" xfId="54"/>
    <cellStyle name="40% - Accent4 3" xfId="87"/>
    <cellStyle name="40% - Accent5" xfId="37" builtinId="47" customBuiltin="1"/>
    <cellStyle name="40% - Accent5 2" xfId="56"/>
    <cellStyle name="40% - Accent5 3" xfId="91"/>
    <cellStyle name="40% - Accent6" xfId="41" builtinId="51" customBuiltin="1"/>
    <cellStyle name="40% - Accent6 2" xfId="58"/>
    <cellStyle name="40% - Accent6 3" xfId="95"/>
    <cellStyle name="60% - Accent1" xfId="22" builtinId="32" customBuiltin="1"/>
    <cellStyle name="60% - Accent1 2" xfId="76"/>
    <cellStyle name="60% - Accent2" xfId="26" builtinId="36" customBuiltin="1"/>
    <cellStyle name="60% - Accent2 2" xfId="80"/>
    <cellStyle name="60% - Accent3" xfId="30" builtinId="40" customBuiltin="1"/>
    <cellStyle name="60% - Accent3 2" xfId="84"/>
    <cellStyle name="60% - Accent4" xfId="34" builtinId="44" customBuiltin="1"/>
    <cellStyle name="60% - Accent4 2" xfId="88"/>
    <cellStyle name="60% - Accent5" xfId="38" builtinId="48" customBuiltin="1"/>
    <cellStyle name="60% - Accent5 2" xfId="92"/>
    <cellStyle name="60% - Accent6" xfId="42" builtinId="52" customBuiltin="1"/>
    <cellStyle name="60% - Accent6 2" xfId="96"/>
    <cellStyle name="Accent1" xfId="19" builtinId="29" customBuiltin="1"/>
    <cellStyle name="Accent1 2" xfId="73"/>
    <cellStyle name="Accent2" xfId="23" builtinId="33" customBuiltin="1"/>
    <cellStyle name="Accent2 2" xfId="77"/>
    <cellStyle name="Accent3" xfId="27" builtinId="37" customBuiltin="1"/>
    <cellStyle name="Accent3 2" xfId="81"/>
    <cellStyle name="Accent4" xfId="31" builtinId="41" customBuiltin="1"/>
    <cellStyle name="Accent4 2" xfId="85"/>
    <cellStyle name="Accent5" xfId="35" builtinId="45" customBuiltin="1"/>
    <cellStyle name="Accent5 2" xfId="89"/>
    <cellStyle name="Accent6" xfId="39" builtinId="49" customBuiltin="1"/>
    <cellStyle name="Accent6 2" xfId="93"/>
    <cellStyle name="Berekening" xfId="13" builtinId="22" customBuiltin="1"/>
    <cellStyle name="Berekening 2" xfId="66"/>
    <cellStyle name="Controlecel" xfId="15" builtinId="23" customBuiltin="1"/>
    <cellStyle name="Controlecel 2" xfId="68"/>
    <cellStyle name="Gekoppelde cel" xfId="14" builtinId="24" customBuiltin="1"/>
    <cellStyle name="Gekoppelde cel 2" xfId="67"/>
    <cellStyle name="Goed" xfId="8" builtinId="26" customBuiltin="1"/>
    <cellStyle name="Goed 2" xfId="61"/>
    <cellStyle name="Hyperlink" xfId="1" builtinId="8"/>
    <cellStyle name="Invoer" xfId="11" builtinId="20" customBuiltin="1"/>
    <cellStyle name="Invoer 2" xfId="64"/>
    <cellStyle name="Kop 1" xfId="4" builtinId="16" customBuiltin="1"/>
    <cellStyle name="Kop 2" xfId="5" builtinId="17" customBuiltin="1"/>
    <cellStyle name="Kop 3" xfId="6" builtinId="18" customBuiltin="1"/>
    <cellStyle name="Kop 4" xfId="7" builtinId="19" customBuiltin="1"/>
    <cellStyle name="Neutraal" xfId="10" builtinId="28" customBuiltin="1"/>
    <cellStyle name="Neutraal 2" xfId="63"/>
    <cellStyle name="Normal_Sheet1" xfId="2"/>
    <cellStyle name="Notitie 2" xfId="44"/>
    <cellStyle name="Notitie 3" xfId="46"/>
    <cellStyle name="Notitie 4" xfId="70"/>
    <cellStyle name="Ongeldig" xfId="9" builtinId="27" customBuiltin="1"/>
    <cellStyle name="Ongeldig 2" xfId="62"/>
    <cellStyle name="Standaard" xfId="0" builtinId="0"/>
    <cellStyle name="Standaard 2" xfId="43"/>
    <cellStyle name="Standaard 3" xfId="45"/>
    <cellStyle name="Standaard 4" xfId="59"/>
    <cellStyle name="Titel" xfId="3" builtinId="15" customBuiltin="1"/>
    <cellStyle name="Titel 2" xfId="60"/>
    <cellStyle name="Totaal" xfId="18" builtinId="25" customBuiltin="1"/>
    <cellStyle name="Totaal 2" xfId="72"/>
    <cellStyle name="Uitvoer" xfId="12" builtinId="21" customBuiltin="1"/>
    <cellStyle name="Uitvoer 2" xfId="65"/>
    <cellStyle name="Verklarende tekst" xfId="17" builtinId="53" customBuiltin="1"/>
    <cellStyle name="Verklarende tekst 2" xfId="71"/>
    <cellStyle name="Waarschuwingstekst" xfId="16" builtinId="11" customBuiltin="1"/>
    <cellStyle name="Waarschuwingstekst 2" xfId="69"/>
  </cellStyles>
  <dxfs count="0"/>
  <tableStyles count="0" defaultTableStyle="TableStyleMedium9" defaultPivotStyle="PivotStyleLight16"/>
  <colors>
    <mruColors>
      <color rgb="FF99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5" dropStyle="combo" dx="16" fmlaLink="D10" fmlaRange="$H$8:$H$21" noThreeD="1" sel="14" val="0"/>
</file>

<file path=xl/ctrlProps/ctrlProp2.xml><?xml version="1.0" encoding="utf-8"?>
<formControlPr xmlns="http://schemas.microsoft.com/office/spreadsheetml/2009/9/main" objectType="Drop" dropStyle="combo" dx="16" fmlaLink="D11" fmlaRange="$H$4:$H$6" noThreeD="1" sel="3" val="0"/>
</file>

<file path=xl/ctrlProps/ctrlProp3.xml><?xml version="1.0" encoding="utf-8"?>
<formControlPr xmlns="http://schemas.microsoft.com/office/spreadsheetml/2009/9/main" objectType="Drop" dropStyle="combo" dx="16" fmlaLink="D13" fmlaRange="$I$10:$I$17" noThreeD="1" sel="7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809625</xdr:colOff>
          <xdr:row>10</xdr:row>
          <xdr:rowOff>0</xdr:rowOff>
        </xdr:to>
        <xdr:sp macro="" textlink="">
          <xdr:nvSpPr>
            <xdr:cNvPr id="11277" name="Drop Down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5</xdr:col>
          <xdr:colOff>2314575</xdr:colOff>
          <xdr:row>11</xdr:row>
          <xdr:rowOff>0</xdr:rowOff>
        </xdr:to>
        <xdr:sp macro="" textlink="">
          <xdr:nvSpPr>
            <xdr:cNvPr id="11280" name="Drop Down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38100</xdr:rowOff>
        </xdr:from>
        <xdr:to>
          <xdr:col>5</xdr:col>
          <xdr:colOff>2343150</xdr:colOff>
          <xdr:row>22</xdr:row>
          <xdr:rowOff>57150</xdr:rowOff>
        </xdr:to>
        <xdr:sp macro="" textlink="">
          <xdr:nvSpPr>
            <xdr:cNvPr id="11300" name="Object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800100</xdr:colOff>
          <xdr:row>12</xdr:row>
          <xdr:rowOff>200025</xdr:rowOff>
        </xdr:to>
        <xdr:sp macro="" textlink="">
          <xdr:nvSpPr>
            <xdr:cNvPr id="11301" name="Drop Down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</xdr:colOff>
      <xdr:row>0</xdr:row>
      <xdr:rowOff>38100</xdr:rowOff>
    </xdr:from>
    <xdr:to>
      <xdr:col>18</xdr:col>
      <xdr:colOff>323850</xdr:colOff>
      <xdr:row>4</xdr:row>
      <xdr:rowOff>95250</xdr:rowOff>
    </xdr:to>
    <xdr:pic>
      <xdr:nvPicPr>
        <xdr:cNvPr id="5" name="Afbeelding 4" descr="back2b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2624" t="33778" r="37628" b="21000"/>
        <a:stretch>
          <a:fillRect/>
        </a:stretch>
      </xdr:blipFill>
      <xdr:spPr>
        <a:xfrm>
          <a:off x="7248525" y="38100"/>
          <a:ext cx="876300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6</xdr:col>
      <xdr:colOff>66675</xdr:colOff>
      <xdr:row>32</xdr:row>
      <xdr:rowOff>76200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33900"/>
          <a:ext cx="4410075" cy="723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ndaard\voorbeelden\besluit%20bodemkwaliteit\0_partijkeuring%20grond%20rapportage\0_BBK_Back2B6_grond_en_bagger_15_aug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nalyse import"/>
      <sheetName val="Besluit bodemkwaliteit"/>
      <sheetName val="msPAF anorg"/>
      <sheetName val="msPAF org"/>
      <sheetName val="PAF parameters"/>
      <sheetName val="teller overschrijdingen"/>
      <sheetName val="omrekenen"/>
      <sheetName val="CROW tab"/>
    </sheetNames>
    <sheetDataSet>
      <sheetData sheetId="0"/>
      <sheetData sheetId="1"/>
      <sheetData sheetId="2">
        <row r="22">
          <cell r="E22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8">
          <cell r="F38" t="str">
            <v/>
          </cell>
        </row>
        <row r="42">
          <cell r="F42" t="str">
            <v/>
          </cell>
        </row>
        <row r="200">
          <cell r="F200" t="str">
            <v/>
          </cell>
        </row>
      </sheetData>
      <sheetData sheetId="3">
        <row r="8">
          <cell r="O8">
            <v>0</v>
          </cell>
        </row>
      </sheetData>
      <sheetData sheetId="4"/>
      <sheetData sheetId="5">
        <row r="28">
          <cell r="E28">
            <v>0.23089927099999999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info@back2b6.com" TargetMode="External"/><Relationship Id="rId1" Type="http://schemas.openxmlformats.org/officeDocument/2006/relationships/hyperlink" Target="http://www.back2b6.com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3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/>
  <dimension ref="A1:T59"/>
  <sheetViews>
    <sheetView tabSelected="1" zoomScaleNormal="100" workbookViewId="0">
      <selection activeCell="D4" sqref="D4"/>
    </sheetView>
  </sheetViews>
  <sheetFormatPr defaultRowHeight="12.75"/>
  <cols>
    <col min="1" max="2" width="9.140625" style="16"/>
    <col min="3" max="3" width="8" style="16" customWidth="1"/>
    <col min="4" max="4" width="12.140625" style="198" customWidth="1"/>
    <col min="5" max="5" width="12.42578125" style="16" customWidth="1"/>
    <col min="6" max="6" width="35.5703125" style="16" customWidth="1"/>
    <col min="7" max="7" width="9.140625" style="16" hidden="1" customWidth="1"/>
    <col min="8" max="8" width="28.85546875" style="16" hidden="1" customWidth="1"/>
    <col min="9" max="9" width="23.28515625" style="16" hidden="1" customWidth="1"/>
    <col min="10" max="10" width="22.140625" style="16" hidden="1" customWidth="1"/>
    <col min="11" max="11" width="20.85546875" style="16" hidden="1" customWidth="1"/>
    <col min="12" max="12" width="21.85546875" style="16" hidden="1" customWidth="1"/>
    <col min="13" max="13" width="8.140625" style="16" customWidth="1"/>
    <col min="14" max="14" width="23.5703125" style="16" customWidth="1"/>
    <col min="15" max="15" width="21.5703125" style="16" customWidth="1"/>
    <col min="16" max="16" width="10.42578125" style="16" customWidth="1"/>
    <col min="17" max="17" width="32" style="16" customWidth="1"/>
    <col min="18" max="18" width="11.28515625" style="16" customWidth="1"/>
    <col min="19" max="19" width="16.7109375" style="16" customWidth="1"/>
    <col min="20" max="20" width="16.5703125" style="16" customWidth="1"/>
    <col min="21" max="21" width="12.42578125" style="16" customWidth="1"/>
    <col min="22" max="22" width="13.28515625" style="16" customWidth="1"/>
    <col min="23" max="23" width="12.42578125" style="16" customWidth="1"/>
    <col min="24" max="16384" width="9.140625" style="16"/>
  </cols>
  <sheetData>
    <row r="1" spans="1:15" ht="13.5" thickTop="1">
      <c r="A1" s="162" t="s">
        <v>452</v>
      </c>
      <c r="B1" s="163"/>
      <c r="C1" s="163"/>
      <c r="D1" s="164"/>
      <c r="E1" s="163"/>
      <c r="F1" s="165"/>
    </row>
    <row r="2" spans="1:15">
      <c r="A2" s="166"/>
      <c r="B2" s="141"/>
      <c r="C2" s="141"/>
      <c r="D2" s="167"/>
      <c r="E2" s="141"/>
      <c r="F2" s="242" t="s">
        <v>657</v>
      </c>
    </row>
    <row r="3" spans="1:15" ht="5.0999999999999996" customHeight="1">
      <c r="A3" s="168"/>
      <c r="B3" s="169"/>
      <c r="C3" s="170"/>
      <c r="D3" s="171"/>
      <c r="E3" s="169"/>
      <c r="F3" s="172"/>
    </row>
    <row r="4" spans="1:15" ht="15">
      <c r="A4" s="173" t="s">
        <v>285</v>
      </c>
      <c r="B4" s="141"/>
      <c r="C4" s="141"/>
      <c r="D4" s="154"/>
      <c r="E4" s="153"/>
      <c r="F4" s="155"/>
      <c r="G4" s="141"/>
      <c r="H4" s="131" t="s">
        <v>420</v>
      </c>
      <c r="K4" s="174"/>
      <c r="L4" s="131"/>
    </row>
    <row r="5" spans="1:15" ht="15" customHeight="1">
      <c r="A5" s="173" t="s">
        <v>447</v>
      </c>
      <c r="B5" s="141"/>
      <c r="C5" s="141"/>
      <c r="D5" s="422"/>
      <c r="E5" s="422"/>
      <c r="F5" s="423"/>
      <c r="G5" s="141"/>
      <c r="H5" s="131"/>
      <c r="K5" s="174"/>
      <c r="L5" s="131"/>
    </row>
    <row r="6" spans="1:15" ht="15.75">
      <c r="A6" s="173" t="s">
        <v>253</v>
      </c>
      <c r="B6" s="141"/>
      <c r="C6" s="175"/>
      <c r="D6" s="154"/>
      <c r="E6" s="153"/>
      <c r="F6" s="155"/>
      <c r="G6" s="141"/>
      <c r="H6" s="131" t="s">
        <v>304</v>
      </c>
      <c r="K6" s="174"/>
      <c r="L6" s="131"/>
    </row>
    <row r="7" spans="1:15">
      <c r="A7" s="173" t="s">
        <v>339</v>
      </c>
      <c r="B7" s="176"/>
      <c r="C7" s="176"/>
      <c r="D7" s="152"/>
      <c r="E7" s="152"/>
      <c r="F7" s="206"/>
      <c r="G7" s="141"/>
      <c r="H7" s="177">
        <f>D11</f>
        <v>3</v>
      </c>
      <c r="K7" s="174"/>
      <c r="L7" s="131"/>
      <c r="O7" s="174"/>
    </row>
    <row r="8" spans="1:15">
      <c r="A8" s="173" t="s">
        <v>340</v>
      </c>
      <c r="B8" s="176"/>
      <c r="C8" s="176"/>
      <c r="D8" s="424"/>
      <c r="E8" s="424"/>
      <c r="F8" s="425"/>
      <c r="G8" s="141"/>
      <c r="H8" s="131" t="s">
        <v>287</v>
      </c>
      <c r="K8" s="174"/>
    </row>
    <row r="9" spans="1:15">
      <c r="A9" s="173" t="s">
        <v>399</v>
      </c>
      <c r="B9" s="176"/>
      <c r="C9" s="176"/>
      <c r="D9" s="426"/>
      <c r="E9" s="426"/>
      <c r="F9" s="427"/>
      <c r="G9" s="141"/>
      <c r="H9" s="131" t="s">
        <v>290</v>
      </c>
      <c r="K9" s="174"/>
      <c r="L9" s="131"/>
      <c r="N9" s="131"/>
    </row>
    <row r="10" spans="1:15" ht="15.95" customHeight="1">
      <c r="A10" s="173" t="s">
        <v>286</v>
      </c>
      <c r="B10" s="176"/>
      <c r="C10" s="176"/>
      <c r="D10" s="129">
        <v>14</v>
      </c>
      <c r="E10" s="130"/>
      <c r="F10" s="156"/>
      <c r="G10" s="141"/>
      <c r="H10" s="131" t="s">
        <v>440</v>
      </c>
      <c r="I10" s="91" t="s">
        <v>407</v>
      </c>
      <c r="K10" s="174"/>
      <c r="N10" s="131"/>
      <c r="O10" s="180"/>
    </row>
    <row r="11" spans="1:15" ht="15.95" customHeight="1">
      <c r="A11" s="181" t="s">
        <v>342</v>
      </c>
      <c r="B11" s="141"/>
      <c r="C11" s="141"/>
      <c r="D11" s="442">
        <v>3</v>
      </c>
      <c r="E11" s="442"/>
      <c r="F11" s="443"/>
      <c r="G11" s="141"/>
      <c r="H11" s="131" t="s">
        <v>441</v>
      </c>
      <c r="I11" s="91" t="s">
        <v>408</v>
      </c>
      <c r="N11" s="131"/>
    </row>
    <row r="12" spans="1:15" ht="15" customHeight="1">
      <c r="A12" s="173" t="s">
        <v>341</v>
      </c>
      <c r="B12" s="15"/>
      <c r="C12" s="15"/>
      <c r="D12" s="203"/>
      <c r="E12" s="204"/>
      <c r="F12" s="205"/>
      <c r="G12" s="176"/>
      <c r="H12" s="131" t="s">
        <v>288</v>
      </c>
      <c r="I12" s="91" t="s">
        <v>409</v>
      </c>
    </row>
    <row r="13" spans="1:15" ht="17.25" customHeight="1" thickBot="1">
      <c r="A13" s="219" t="s">
        <v>406</v>
      </c>
      <c r="B13" s="220"/>
      <c r="C13" s="223"/>
      <c r="D13" s="223">
        <v>7</v>
      </c>
      <c r="E13" s="223"/>
      <c r="F13" s="221" t="str">
        <f>IF(I18=6,"max 500 ton",IF(I18&lt;6,"max 2000 ton","max 10.000 ton"))</f>
        <v>max 10.000 ton</v>
      </c>
      <c r="G13" s="176"/>
      <c r="H13" s="131" t="s">
        <v>291</v>
      </c>
      <c r="I13" s="91" t="s">
        <v>410</v>
      </c>
    </row>
    <row r="14" spans="1:15" ht="14.45" customHeight="1">
      <c r="A14" s="444" t="str">
        <f ca="1">IF(J15&gt;J16,"U WERKT MET EEN VEROUDERDE VERSIE. GA NAAR www.back2b6.net EN DOWNLOAD EEN NIEUWE VERSIE.",IF(J19=2,"","Uw licentie eindigt binnenkort. Ga naar www.back2b6.net en download een nieuwe versie."))</f>
        <v/>
      </c>
      <c r="B14" s="445"/>
      <c r="C14" s="445"/>
      <c r="D14" s="445"/>
      <c r="E14" s="445"/>
      <c r="F14" s="446"/>
      <c r="G14" s="176"/>
      <c r="H14" s="183" t="s">
        <v>289</v>
      </c>
      <c r="I14" s="91" t="s">
        <v>411</v>
      </c>
    </row>
    <row r="15" spans="1:15" ht="36" customHeight="1" thickBot="1">
      <c r="A15" s="512" t="s">
        <v>653</v>
      </c>
      <c r="B15" s="513"/>
      <c r="C15" s="513"/>
      <c r="D15" s="513"/>
      <c r="E15" s="513"/>
      <c r="F15" s="246">
        <v>42900</v>
      </c>
      <c r="G15" s="176"/>
      <c r="H15" s="131" t="s">
        <v>292</v>
      </c>
      <c r="I15" s="91" t="s">
        <v>412</v>
      </c>
      <c r="J15" s="216">
        <f ca="1">NOW()</f>
        <v>42900.388787384261</v>
      </c>
      <c r="K15" s="11" t="s">
        <v>343</v>
      </c>
    </row>
    <row r="16" spans="1:15" ht="13.5" customHeight="1" thickBot="1">
      <c r="A16" s="181"/>
      <c r="B16" s="146"/>
      <c r="C16" s="146"/>
      <c r="D16" s="184"/>
      <c r="E16" s="146"/>
      <c r="F16" s="208"/>
      <c r="G16" s="176"/>
      <c r="H16" s="131" t="s">
        <v>293</v>
      </c>
      <c r="I16" s="91" t="s">
        <v>413</v>
      </c>
      <c r="J16" s="240">
        <v>50000</v>
      </c>
      <c r="K16" s="11" t="s">
        <v>344</v>
      </c>
      <c r="L16" s="241">
        <f>42432+465</f>
        <v>42897</v>
      </c>
    </row>
    <row r="17" spans="1:12" ht="15.95" customHeight="1">
      <c r="A17" s="430" t="s">
        <v>651</v>
      </c>
      <c r="B17" s="431"/>
      <c r="C17" s="431"/>
      <c r="D17" s="431"/>
      <c r="E17" s="431"/>
      <c r="F17" s="432"/>
      <c r="G17" s="179"/>
      <c r="H17" s="131" t="s">
        <v>443</v>
      </c>
      <c r="I17" s="91" t="s">
        <v>414</v>
      </c>
      <c r="J17" s="11">
        <f ca="1">IF(J15&gt;J16,0,1)</f>
        <v>1</v>
      </c>
      <c r="K17" s="11"/>
    </row>
    <row r="18" spans="1:12" ht="14.45" customHeight="1">
      <c r="A18" s="433"/>
      <c r="B18" s="434"/>
      <c r="C18" s="434"/>
      <c r="D18" s="434"/>
      <c r="E18" s="434"/>
      <c r="F18" s="435"/>
      <c r="G18" s="179"/>
      <c r="H18" s="131" t="s">
        <v>442</v>
      </c>
      <c r="I18" s="222">
        <f>D13</f>
        <v>7</v>
      </c>
      <c r="J18" s="217">
        <f>+J16-20</f>
        <v>49980</v>
      </c>
      <c r="K18" s="11" t="s">
        <v>345</v>
      </c>
    </row>
    <row r="19" spans="1:12" ht="14.45" customHeight="1">
      <c r="A19" s="181"/>
      <c r="B19" s="15"/>
      <c r="C19" s="15"/>
      <c r="D19" s="207"/>
      <c r="E19" s="15"/>
      <c r="F19" s="209"/>
      <c r="G19" s="146"/>
      <c r="H19" s="131" t="s">
        <v>296</v>
      </c>
      <c r="J19" s="11">
        <f ca="1">IF(J18&gt;J15,2,0)</f>
        <v>2</v>
      </c>
      <c r="K19" s="11"/>
    </row>
    <row r="20" spans="1:12" ht="15.95" customHeight="1">
      <c r="A20" s="181"/>
      <c r="B20" s="15"/>
      <c r="C20" s="15"/>
      <c r="D20" s="182"/>
      <c r="E20" s="15"/>
      <c r="F20" s="209"/>
      <c r="G20" s="146"/>
      <c r="H20" s="131" t="s">
        <v>294</v>
      </c>
      <c r="I20" s="16" t="str">
        <f>IF(I18=1,"achtergrondwaarde",IF(I18=2,"wonen",IF(I18=3,"industrie",IF(I18=4,"klasse A",IF(I18=5,"klasse B",IF(I18=6,"niet toepasbaar",""))))))</f>
        <v/>
      </c>
      <c r="J20" s="217">
        <f ca="1">J16-J15</f>
        <v>7099.6112126157386</v>
      </c>
      <c r="K20" s="11" t="s">
        <v>431</v>
      </c>
    </row>
    <row r="21" spans="1:12" ht="14.45" customHeight="1">
      <c r="A21" s="181"/>
      <c r="B21" s="15"/>
      <c r="C21" s="15"/>
      <c r="D21" s="207"/>
      <c r="E21" s="15"/>
      <c r="F21" s="209"/>
      <c r="G21" s="146"/>
      <c r="H21" s="131" t="s">
        <v>278</v>
      </c>
      <c r="K21" s="186"/>
    </row>
    <row r="22" spans="1:12" ht="14.45" customHeight="1">
      <c r="A22" s="181"/>
      <c r="B22" s="15"/>
      <c r="C22" s="15"/>
      <c r="D22" s="207"/>
      <c r="E22" s="15"/>
      <c r="F22" s="209"/>
      <c r="G22" s="146"/>
      <c r="H22" s="178">
        <f>D10</f>
        <v>14</v>
      </c>
    </row>
    <row r="23" spans="1:12" ht="14.45" customHeight="1">
      <c r="A23" s="181"/>
      <c r="B23" s="15"/>
      <c r="C23" s="15"/>
      <c r="D23" s="207"/>
      <c r="E23" s="15"/>
      <c r="F23" s="209"/>
      <c r="G23" s="146"/>
      <c r="H23" s="178">
        <f>IF(D10=10,1,0)</f>
        <v>0</v>
      </c>
    </row>
    <row r="24" spans="1:12" ht="12" customHeight="1">
      <c r="A24" s="181" t="s">
        <v>384</v>
      </c>
      <c r="B24" s="15"/>
      <c r="C24" s="15"/>
      <c r="D24" s="207"/>
      <c r="E24" s="15"/>
      <c r="F24" s="209"/>
      <c r="G24" s="146"/>
      <c r="H24" s="16" t="str">
        <f>IF(H23=1,"uit de waterbodem","uit de landbodem")</f>
        <v>uit de landbodem</v>
      </c>
    </row>
    <row r="25" spans="1:12" ht="12" customHeight="1">
      <c r="A25" s="210" t="s">
        <v>385</v>
      </c>
      <c r="B25" s="15"/>
      <c r="C25" s="186" t="s">
        <v>387</v>
      </c>
      <c r="D25" s="207"/>
      <c r="E25" s="15"/>
      <c r="F25" s="211"/>
      <c r="G25" s="146"/>
      <c r="H25" s="16" t="str">
        <f>IF(H22=1,"zand",IF(H22&lt;9,"grond",IF(H22=9,"thermisch gereinigde grond",IF(H22=10,"waterbodem/bagger",IF(H22=11,"terug te plaatsen tarragrond",IF(H22=12,"slibresidu",IF(H22=13,"zand uit bager","grond")))))))</f>
        <v>grond</v>
      </c>
    </row>
    <row r="26" spans="1:12" ht="12" customHeight="1">
      <c r="A26" s="210" t="s">
        <v>386</v>
      </c>
      <c r="B26" s="15"/>
      <c r="C26" s="186" t="s">
        <v>388</v>
      </c>
      <c r="D26" s="182"/>
      <c r="E26" s="15"/>
      <c r="F26" s="212"/>
      <c r="G26" s="146"/>
    </row>
    <row r="27" spans="1:12" ht="14.45" customHeight="1" thickBot="1">
      <c r="A27" s="181"/>
      <c r="B27" s="15"/>
      <c r="C27" s="15"/>
      <c r="D27" s="187"/>
      <c r="E27" s="15"/>
      <c r="F27" s="213"/>
      <c r="G27" s="146"/>
      <c r="H27" s="226">
        <f>IF(H23=1,2000,500)</f>
        <v>500</v>
      </c>
      <c r="I27" s="224" t="s">
        <v>416</v>
      </c>
      <c r="J27" s="225"/>
    </row>
    <row r="28" spans="1:12" ht="15.75" customHeight="1">
      <c r="A28" s="436" t="s">
        <v>389</v>
      </c>
      <c r="B28" s="437"/>
      <c r="C28" s="437"/>
      <c r="D28" s="437"/>
      <c r="E28" s="437"/>
      <c r="F28" s="438"/>
      <c r="G28" s="146"/>
    </row>
    <row r="29" spans="1:12" ht="21" customHeight="1" thickBot="1">
      <c r="A29" s="439"/>
      <c r="B29" s="440"/>
      <c r="C29" s="440"/>
      <c r="D29" s="440"/>
      <c r="E29" s="440"/>
      <c r="F29" s="441"/>
      <c r="G29" s="141"/>
    </row>
    <row r="30" spans="1:12" ht="14.45" customHeight="1" thickTop="1">
      <c r="A30" s="146"/>
      <c r="B30" s="15"/>
      <c r="C30" s="15"/>
      <c r="D30" s="182"/>
      <c r="E30" s="188"/>
      <c r="F30" s="182"/>
      <c r="G30" s="141"/>
      <c r="I30" s="178"/>
      <c r="K30" s="178"/>
      <c r="L30" s="177"/>
    </row>
    <row r="31" spans="1:12" ht="14.45" customHeight="1">
      <c r="A31" s="15"/>
      <c r="B31" s="15"/>
      <c r="C31" s="15"/>
      <c r="D31" s="185"/>
      <c r="E31" s="188"/>
      <c r="F31" s="15"/>
      <c r="G31" s="141"/>
    </row>
    <row r="32" spans="1:12" ht="14.45" customHeight="1">
      <c r="A32" s="146"/>
      <c r="B32" s="15"/>
      <c r="C32" s="15"/>
      <c r="D32" s="182"/>
      <c r="E32" s="15"/>
      <c r="F32" s="15"/>
      <c r="G32" s="141"/>
    </row>
    <row r="33" spans="1:19" ht="14.45" customHeight="1">
      <c r="A33" s="146"/>
      <c r="B33" s="15"/>
      <c r="C33" s="15"/>
      <c r="D33" s="182"/>
      <c r="E33" s="15"/>
      <c r="F33" s="15"/>
      <c r="G33" s="141"/>
    </row>
    <row r="34" spans="1:19" ht="14.45" customHeight="1">
      <c r="A34" s="15"/>
      <c r="B34" s="15"/>
      <c r="C34" s="15"/>
      <c r="D34" s="182"/>
      <c r="E34" s="15"/>
      <c r="F34" s="15"/>
      <c r="G34" s="141"/>
    </row>
    <row r="35" spans="1:19" ht="5.0999999999999996" customHeight="1">
      <c r="A35" s="15"/>
      <c r="B35" s="15"/>
      <c r="C35" s="15"/>
      <c r="D35" s="182"/>
      <c r="E35" s="15"/>
      <c r="F35" s="15"/>
    </row>
    <row r="36" spans="1:19" ht="14.45" customHeight="1">
      <c r="A36" s="186"/>
      <c r="B36" s="15"/>
      <c r="C36" s="15"/>
      <c r="D36" s="182"/>
      <c r="E36" s="15"/>
      <c r="F36" s="186"/>
    </row>
    <row r="37" spans="1:19" ht="14.45" customHeight="1">
      <c r="A37" s="15"/>
      <c r="B37" s="15"/>
      <c r="C37" s="15"/>
      <c r="D37" s="182"/>
      <c r="E37" s="15"/>
      <c r="F37" s="186"/>
    </row>
    <row r="38" spans="1:19" ht="14.45" customHeight="1">
      <c r="A38" s="15"/>
      <c r="B38" s="15"/>
      <c r="C38" s="15"/>
      <c r="D38" s="182"/>
      <c r="E38" s="15"/>
      <c r="F38" s="186"/>
    </row>
    <row r="39" spans="1:19" ht="3.75" customHeight="1">
      <c r="A39" s="15"/>
      <c r="B39" s="15"/>
      <c r="C39" s="15"/>
      <c r="D39" s="182"/>
      <c r="E39" s="15"/>
      <c r="F39" s="15"/>
    </row>
    <row r="40" spans="1:19">
      <c r="A40" s="186"/>
      <c r="B40" s="15"/>
      <c r="C40" s="15"/>
      <c r="D40" s="428"/>
      <c r="E40" s="428"/>
      <c r="F40" s="15"/>
      <c r="K40" s="189"/>
      <c r="L40" s="189"/>
      <c r="M40" s="189"/>
      <c r="N40" s="189"/>
      <c r="O40" s="190"/>
      <c r="P40" s="190"/>
      <c r="Q40" s="190"/>
      <c r="R40" s="15"/>
      <c r="S40" s="15"/>
    </row>
    <row r="41" spans="1:19">
      <c r="A41" s="186"/>
      <c r="B41" s="15"/>
      <c r="C41" s="15"/>
      <c r="D41" s="429"/>
      <c r="E41" s="429"/>
      <c r="F41" s="15"/>
      <c r="K41" s="191"/>
      <c r="L41" s="192"/>
      <c r="M41" s="193"/>
      <c r="N41" s="193"/>
      <c r="O41" s="194"/>
      <c r="P41" s="194"/>
      <c r="Q41" s="192"/>
      <c r="R41" s="15"/>
      <c r="S41" s="15"/>
    </row>
    <row r="42" spans="1:19">
      <c r="A42" s="15"/>
      <c r="B42" s="15"/>
      <c r="C42" s="15"/>
      <c r="D42" s="182"/>
      <c r="E42" s="15"/>
      <c r="F42" s="15"/>
      <c r="K42" s="191"/>
      <c r="L42" s="192"/>
      <c r="M42" s="192"/>
      <c r="N42" s="192"/>
      <c r="O42" s="194"/>
      <c r="P42" s="194"/>
      <c r="Q42" s="194"/>
      <c r="R42" s="15"/>
      <c r="S42" s="15"/>
    </row>
    <row r="43" spans="1:19">
      <c r="A43" s="15"/>
      <c r="B43" s="15"/>
      <c r="C43" s="15"/>
      <c r="D43" s="182"/>
      <c r="E43" s="15"/>
      <c r="F43" s="15"/>
      <c r="K43" s="191"/>
      <c r="L43" s="192"/>
      <c r="M43" s="192"/>
      <c r="N43" s="192"/>
      <c r="O43" s="194"/>
      <c r="P43" s="192"/>
      <c r="Q43" s="192"/>
      <c r="R43" s="15"/>
      <c r="S43" s="15"/>
    </row>
    <row r="44" spans="1:19">
      <c r="A44" s="15"/>
      <c r="B44" s="15"/>
      <c r="C44" s="15"/>
      <c r="D44" s="182"/>
      <c r="E44" s="15"/>
      <c r="F44" s="15"/>
      <c r="K44" s="191"/>
      <c r="L44" s="192"/>
      <c r="M44" s="193"/>
      <c r="N44" s="193"/>
      <c r="O44" s="194"/>
      <c r="P44" s="192"/>
      <c r="Q44" s="192"/>
      <c r="R44" s="15"/>
      <c r="S44" s="15"/>
    </row>
    <row r="45" spans="1:19">
      <c r="A45" s="15"/>
      <c r="B45" s="15"/>
      <c r="C45" s="15"/>
      <c r="D45" s="182"/>
      <c r="E45" s="15"/>
      <c r="F45" s="15"/>
      <c r="K45" s="191"/>
      <c r="L45" s="192"/>
      <c r="M45" s="192"/>
      <c r="N45" s="192"/>
      <c r="O45" s="194"/>
      <c r="P45" s="192"/>
      <c r="Q45" s="192"/>
      <c r="R45" s="15"/>
      <c r="S45" s="15"/>
    </row>
    <row r="46" spans="1:19">
      <c r="A46" s="15"/>
      <c r="B46" s="15"/>
      <c r="C46" s="15"/>
      <c r="D46" s="182"/>
      <c r="E46" s="15"/>
      <c r="F46" s="15"/>
      <c r="J46" s="178"/>
      <c r="K46" s="191"/>
      <c r="L46" s="192"/>
      <c r="M46" s="192"/>
      <c r="N46" s="192"/>
      <c r="O46" s="194"/>
      <c r="P46" s="192"/>
      <c r="Q46" s="192"/>
      <c r="R46" s="15"/>
      <c r="S46" s="15"/>
    </row>
    <row r="47" spans="1:19">
      <c r="A47" s="15"/>
      <c r="B47" s="15"/>
      <c r="C47" s="15"/>
      <c r="D47" s="182"/>
      <c r="E47" s="15"/>
      <c r="F47" s="15"/>
      <c r="I47" s="15"/>
      <c r="J47" s="195"/>
      <c r="K47" s="191"/>
      <c r="L47" s="192"/>
      <c r="M47" s="192"/>
      <c r="N47" s="192"/>
      <c r="O47" s="194"/>
      <c r="P47" s="192"/>
      <c r="Q47" s="192"/>
      <c r="R47" s="15"/>
      <c r="S47" s="15"/>
    </row>
    <row r="48" spans="1:19">
      <c r="A48" s="15"/>
      <c r="B48" s="15"/>
      <c r="C48" s="15"/>
      <c r="D48" s="182"/>
      <c r="E48" s="15"/>
      <c r="F48" s="15"/>
      <c r="I48" s="15"/>
      <c r="J48" s="195"/>
      <c r="K48" s="191"/>
      <c r="L48" s="192"/>
      <c r="M48" s="193"/>
      <c r="N48" s="193"/>
      <c r="O48" s="194"/>
      <c r="P48" s="192"/>
      <c r="Q48" s="192"/>
      <c r="R48" s="15"/>
      <c r="S48" s="15"/>
    </row>
    <row r="49" spans="1:20">
      <c r="A49" s="15"/>
      <c r="B49" s="15"/>
      <c r="C49" s="15"/>
      <c r="D49" s="182"/>
      <c r="E49" s="15"/>
      <c r="F49" s="15"/>
      <c r="I49" s="15"/>
      <c r="J49" s="195"/>
      <c r="K49" s="191"/>
      <c r="L49" s="192"/>
      <c r="M49" s="196"/>
      <c r="N49" s="192"/>
      <c r="O49" s="194"/>
      <c r="P49" s="192"/>
      <c r="Q49" s="192"/>
      <c r="R49" s="15"/>
      <c r="S49" s="15"/>
    </row>
    <row r="50" spans="1:20">
      <c r="A50" s="15"/>
      <c r="B50" s="15"/>
      <c r="C50" s="15"/>
      <c r="D50" s="182"/>
      <c r="E50" s="15"/>
      <c r="F50" s="15"/>
      <c r="I50" s="15"/>
      <c r="J50" s="195"/>
      <c r="K50" s="191"/>
      <c r="L50" s="192"/>
      <c r="M50" s="192"/>
      <c r="N50" s="192"/>
      <c r="O50" s="194"/>
      <c r="P50" s="192"/>
      <c r="Q50" s="192"/>
      <c r="R50" s="15"/>
      <c r="S50" s="15"/>
    </row>
    <row r="51" spans="1:20">
      <c r="A51" s="15"/>
      <c r="B51" s="15"/>
      <c r="C51" s="15"/>
      <c r="D51" s="182"/>
      <c r="E51" s="15"/>
      <c r="F51" s="15"/>
      <c r="I51" s="15"/>
      <c r="J51" s="195"/>
      <c r="K51" s="191"/>
      <c r="L51" s="192"/>
      <c r="M51" s="193"/>
      <c r="N51" s="192"/>
      <c r="O51" s="194"/>
      <c r="P51" s="192"/>
      <c r="Q51" s="192"/>
      <c r="R51" s="15"/>
      <c r="S51" s="15"/>
    </row>
    <row r="52" spans="1:20">
      <c r="A52" s="15"/>
      <c r="B52" s="15"/>
      <c r="C52" s="15"/>
      <c r="D52" s="182"/>
      <c r="E52" s="15"/>
      <c r="F52" s="15"/>
      <c r="H52" s="197"/>
      <c r="I52" s="15"/>
      <c r="J52" s="195"/>
      <c r="K52" s="192"/>
      <c r="L52" s="192"/>
      <c r="M52" s="193"/>
      <c r="N52" s="192"/>
      <c r="O52" s="192"/>
      <c r="P52" s="192"/>
      <c r="Q52" s="192"/>
      <c r="R52" s="15"/>
      <c r="S52" s="15"/>
    </row>
    <row r="53" spans="1:20">
      <c r="A53" s="15"/>
      <c r="B53" s="15"/>
      <c r="C53" s="15"/>
      <c r="D53" s="182"/>
      <c r="E53" s="15"/>
      <c r="F53" s="15"/>
      <c r="I53" s="15"/>
      <c r="J53" s="192"/>
      <c r="K53" s="192"/>
      <c r="L53" s="192"/>
      <c r="M53" s="192"/>
      <c r="N53" s="192"/>
      <c r="O53" s="192"/>
      <c r="P53" s="192"/>
      <c r="Q53" s="192"/>
      <c r="R53" s="15"/>
      <c r="S53" s="15"/>
    </row>
    <row r="54" spans="1:20">
      <c r="I54" s="199"/>
      <c r="J54" s="192"/>
      <c r="K54" s="192"/>
      <c r="L54" s="15"/>
      <c r="M54" s="192"/>
      <c r="N54" s="192"/>
      <c r="O54" s="192"/>
      <c r="P54" s="192"/>
      <c r="Q54" s="192"/>
      <c r="R54" s="192"/>
      <c r="S54" s="193"/>
    </row>
    <row r="55" spans="1:20">
      <c r="I55" s="15"/>
      <c r="J55" s="192"/>
      <c r="K55" s="192"/>
      <c r="L55" s="15"/>
      <c r="M55" s="192"/>
      <c r="N55" s="192"/>
      <c r="O55" s="192"/>
      <c r="P55" s="192"/>
      <c r="Q55" s="192"/>
      <c r="R55" s="192"/>
      <c r="S55" s="192"/>
      <c r="T55" s="192"/>
    </row>
    <row r="56" spans="1:20"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20">
      <c r="I57" s="192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20"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20"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</sheetData>
  <sheetProtection password="9F5D" sheet="1" objects="1" scenarios="1"/>
  <mergeCells count="10">
    <mergeCell ref="D5:F5"/>
    <mergeCell ref="D8:F8"/>
    <mergeCell ref="D9:F9"/>
    <mergeCell ref="D40:E40"/>
    <mergeCell ref="D41:E41"/>
    <mergeCell ref="A17:F18"/>
    <mergeCell ref="A28:F29"/>
    <mergeCell ref="D11:F11"/>
    <mergeCell ref="A14:F14"/>
    <mergeCell ref="A15:E15"/>
  </mergeCells>
  <phoneticPr fontId="22" type="noConversion"/>
  <dataValidations disablePrompts="1" count="1">
    <dataValidation type="list" allowBlank="1" showInputMessage="1" showErrorMessage="1" sqref="H52">
      <formula1>#REF!</formula1>
    </dataValidation>
  </dataValidations>
  <hyperlinks>
    <hyperlink ref="A25" r:id="rId1"/>
    <hyperlink ref="A26" r:id="rId2"/>
  </hyperlinks>
  <pageMargins left="0.7" right="0.7" top="0.75" bottom="0.75" header="0.3" footer="0.3"/>
  <pageSetup paperSize="9" orientation="portrait" r:id="rId3"/>
  <drawing r:id="rId4"/>
  <legacyDrawing r:id="rId5"/>
  <oleObjects>
    <mc:AlternateContent xmlns:mc="http://schemas.openxmlformats.org/markup-compatibility/2006">
      <mc:Choice Requires="x14">
        <oleObject progId="FLW3Drawing" shapeId="11300" r:id="rId6">
          <objectPr defaultSize="0" autoPict="0" r:id="rId7">
            <anchor moveWithCells="1">
              <from>
                <xdr:col>0</xdr:col>
                <xdr:colOff>28575</xdr:colOff>
                <xdr:row>18</xdr:row>
                <xdr:rowOff>38100</xdr:rowOff>
              </from>
              <to>
                <xdr:col>5</xdr:col>
                <xdr:colOff>2343150</xdr:colOff>
                <xdr:row>22</xdr:row>
                <xdr:rowOff>57150</xdr:rowOff>
              </to>
            </anchor>
          </objectPr>
        </oleObject>
      </mc:Choice>
      <mc:Fallback>
        <oleObject progId="FLW3Drawing" shapeId="11300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7" r:id="rId8" name="Drop Down 13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809625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9" name="Drop Down 16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5</xdr:col>
                    <xdr:colOff>2314575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10" name="Drop Down 37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800100</xdr:colOff>
                    <xdr:row>12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W236"/>
  <sheetViews>
    <sheetView workbookViewId="0">
      <selection activeCell="C11" sqref="C11"/>
    </sheetView>
  </sheetViews>
  <sheetFormatPr defaultRowHeight="12.75"/>
  <cols>
    <col min="1" max="1" width="2.28515625" style="10" customWidth="1"/>
    <col min="2" max="2" width="28.140625" style="11" customWidth="1"/>
    <col min="3" max="3" width="3" style="12" customWidth="1"/>
    <col min="4" max="4" width="12.5703125" style="11" customWidth="1"/>
    <col min="5" max="5" width="3" style="12" customWidth="1"/>
    <col min="6" max="6" width="12.140625" style="11" customWidth="1"/>
    <col min="7" max="7" width="9.140625" style="16" customWidth="1"/>
    <col min="8" max="8" width="12.5703125" style="11" hidden="1" customWidth="1"/>
    <col min="9" max="9" width="12" style="11" hidden="1" customWidth="1"/>
    <col min="10" max="10" width="4" style="47" hidden="1" customWidth="1"/>
    <col min="11" max="11" width="4.85546875" style="92" hidden="1" customWidth="1"/>
    <col min="12" max="12" width="9.140625" style="96" hidden="1" customWidth="1"/>
    <col min="13" max="13" width="6.140625" style="96" hidden="1" customWidth="1"/>
    <col min="14" max="14" width="4.42578125" style="16" hidden="1" customWidth="1"/>
    <col min="15" max="15" width="5.28515625" style="47" customWidth="1"/>
    <col min="16" max="16" width="6.28515625" style="47" customWidth="1"/>
    <col min="17" max="17" width="12.42578125" style="16" customWidth="1"/>
    <col min="18" max="18" width="17.140625" style="47" customWidth="1"/>
    <col min="19" max="23" width="9.140625" style="16" hidden="1" customWidth="1"/>
    <col min="24" max="25" width="9.140625" style="16" customWidth="1"/>
    <col min="26" max="16384" width="9.140625" style="16"/>
  </cols>
  <sheetData>
    <row r="1" spans="1:21" ht="12.75" customHeight="1">
      <c r="B1" s="127" t="s">
        <v>6</v>
      </c>
      <c r="C1" s="448">
        <f>start!D4</f>
        <v>0</v>
      </c>
      <c r="D1" s="449"/>
      <c r="E1" s="449"/>
      <c r="F1" s="449"/>
      <c r="G1" s="15"/>
      <c r="H1" s="14"/>
      <c r="I1" s="14"/>
      <c r="J1" s="12"/>
      <c r="O1" s="451" t="s">
        <v>390</v>
      </c>
      <c r="P1" s="452"/>
      <c r="Q1" s="452"/>
      <c r="R1" s="452"/>
      <c r="S1" s="370"/>
      <c r="T1" s="131"/>
      <c r="U1" s="131"/>
    </row>
    <row r="2" spans="1:21">
      <c r="B2" s="127" t="s">
        <v>7</v>
      </c>
      <c r="C2" s="450">
        <f>start!D6</f>
        <v>0</v>
      </c>
      <c r="D2" s="449"/>
      <c r="E2" s="449"/>
      <c r="F2" s="449"/>
      <c r="G2" s="15"/>
      <c r="H2" s="14"/>
      <c r="I2" s="14"/>
      <c r="J2" s="12"/>
      <c r="O2" s="453"/>
      <c r="P2" s="454"/>
      <c r="Q2" s="454"/>
      <c r="R2" s="454"/>
      <c r="S2" s="371"/>
      <c r="T2" s="131"/>
      <c r="U2" s="131"/>
    </row>
    <row r="3" spans="1:21" ht="13.5" thickBot="1">
      <c r="B3" s="127" t="s">
        <v>254</v>
      </c>
      <c r="C3" s="448">
        <f>start!D9</f>
        <v>0</v>
      </c>
      <c r="D3" s="449"/>
      <c r="E3" s="449"/>
      <c r="F3" s="449"/>
      <c r="G3" s="15"/>
      <c r="H3" s="14"/>
      <c r="I3" s="14"/>
      <c r="N3" s="12"/>
      <c r="O3" s="455"/>
      <c r="P3" s="456"/>
      <c r="Q3" s="456"/>
      <c r="R3" s="456"/>
      <c r="S3" s="372"/>
      <c r="T3" s="131"/>
      <c r="U3" s="131"/>
    </row>
    <row r="4" spans="1:21">
      <c r="B4" s="127" t="s">
        <v>448</v>
      </c>
      <c r="C4" s="450">
        <f>start!D5</f>
        <v>0</v>
      </c>
      <c r="D4" s="450"/>
      <c r="E4" s="450"/>
      <c r="F4" s="450"/>
      <c r="G4" s="15"/>
      <c r="H4" s="14"/>
      <c r="I4" s="14"/>
      <c r="N4" s="12"/>
      <c r="O4" s="256"/>
      <c r="P4" s="256"/>
      <c r="Q4" s="256"/>
      <c r="R4" s="256"/>
      <c r="S4" s="256"/>
      <c r="T4" s="131"/>
      <c r="U4" s="131"/>
    </row>
    <row r="5" spans="1:21" ht="13.5" thickBot="1">
      <c r="A5" s="128"/>
      <c r="B5" s="9"/>
      <c r="F5" s="139" t="str">
        <f>start!F2</f>
        <v>Back2B6 versie 14 juni 2017</v>
      </c>
      <c r="O5" s="131"/>
      <c r="P5" s="103"/>
      <c r="Q5" s="200"/>
      <c r="R5" s="201">
        <f>IF(start!D10=7,1,0)</f>
        <v>0</v>
      </c>
      <c r="S5" s="131"/>
      <c r="T5" s="131"/>
      <c r="U5" s="131"/>
    </row>
    <row r="6" spans="1:21" ht="12.75" customHeight="1">
      <c r="A6" s="128"/>
      <c r="B6" s="91"/>
      <c r="O6" s="457" t="s">
        <v>391</v>
      </c>
      <c r="P6" s="458"/>
      <c r="Q6" s="458"/>
      <c r="R6" s="458"/>
      <c r="S6" s="373"/>
      <c r="T6" s="131"/>
      <c r="U6" s="131"/>
    </row>
    <row r="7" spans="1:21" ht="13.5" thickBot="1">
      <c r="D7" s="11" t="s">
        <v>240</v>
      </c>
      <c r="H7" s="11" t="s">
        <v>241</v>
      </c>
      <c r="O7" s="459"/>
      <c r="P7" s="460"/>
      <c r="Q7" s="460"/>
      <c r="R7" s="460"/>
      <c r="S7" s="374"/>
      <c r="T7" s="131"/>
      <c r="U7" s="131"/>
    </row>
    <row r="8" spans="1:21" ht="49.5" customHeight="1" thickTop="1" thickBot="1">
      <c r="A8" s="17"/>
      <c r="B8" s="18" t="s">
        <v>0</v>
      </c>
      <c r="C8" s="19"/>
      <c r="D8" s="20" t="s">
        <v>1</v>
      </c>
      <c r="E8" s="20"/>
      <c r="F8" s="21" t="s">
        <v>2</v>
      </c>
      <c r="H8" s="22" t="s">
        <v>1</v>
      </c>
      <c r="I8" s="23" t="s">
        <v>2</v>
      </c>
      <c r="J8" s="59" t="s">
        <v>445</v>
      </c>
      <c r="O8" s="447" t="s">
        <v>268</v>
      </c>
      <c r="P8" s="447"/>
      <c r="Q8" s="447"/>
      <c r="R8" s="243" t="s">
        <v>454</v>
      </c>
    </row>
    <row r="9" spans="1:21">
      <c r="A9" s="24"/>
      <c r="B9" s="25"/>
      <c r="C9" s="93"/>
      <c r="D9" s="94"/>
      <c r="E9" s="94"/>
      <c r="F9" s="94"/>
      <c r="H9" s="26"/>
      <c r="I9" s="26"/>
      <c r="O9" s="100"/>
      <c r="R9" s="124"/>
      <c r="S9" s="47"/>
      <c r="T9" s="47"/>
    </row>
    <row r="10" spans="1:21">
      <c r="A10" s="27">
        <v>0</v>
      </c>
      <c r="B10" s="27" t="s">
        <v>151</v>
      </c>
      <c r="C10" s="95"/>
      <c r="D10" s="410" t="s">
        <v>647</v>
      </c>
      <c r="E10" s="411"/>
      <c r="F10" s="412" t="s">
        <v>648</v>
      </c>
      <c r="H10" s="28"/>
      <c r="I10" s="28"/>
      <c r="K10" s="92" t="s">
        <v>207</v>
      </c>
      <c r="L10" s="96" t="s">
        <v>258</v>
      </c>
      <c r="M10" s="142" t="s">
        <v>272</v>
      </c>
      <c r="N10" s="131" t="s">
        <v>323</v>
      </c>
      <c r="O10" s="100"/>
      <c r="Q10" s="47"/>
      <c r="R10" s="125" t="s">
        <v>5</v>
      </c>
    </row>
    <row r="11" spans="1:21">
      <c r="A11" s="24"/>
      <c r="B11" s="29" t="s">
        <v>152</v>
      </c>
      <c r="C11" s="91"/>
      <c r="D11" s="91"/>
      <c r="E11" s="91"/>
      <c r="F11" s="91"/>
      <c r="H11" s="377">
        <f>IF(C11="&lt;",D11*0.7,D11*1)</f>
        <v>0</v>
      </c>
      <c r="I11" s="377">
        <f>IF(E11="&lt;",F11*0.7,F11*1)</f>
        <v>0</v>
      </c>
      <c r="K11" s="92">
        <f>IF(H11*I11&gt;0,2,1)</f>
        <v>1</v>
      </c>
      <c r="L11" s="96">
        <f>(H11+I11)/K11</f>
        <v>0</v>
      </c>
      <c r="M11" s="378">
        <f>(MAX(H11:I11))</f>
        <v>0</v>
      </c>
      <c r="N11" s="92"/>
      <c r="O11" s="104">
        <v>1</v>
      </c>
      <c r="P11" s="103"/>
      <c r="R11" s="124"/>
    </row>
    <row r="12" spans="1:21">
      <c r="A12" s="24"/>
      <c r="B12" s="29" t="s">
        <v>153</v>
      </c>
      <c r="C12" s="91"/>
      <c r="D12" s="91"/>
      <c r="E12" s="91"/>
      <c r="F12" s="91"/>
      <c r="H12" s="31">
        <f>IF(C12="&lt;",D12*0.7,D12*1)</f>
        <v>0</v>
      </c>
      <c r="I12" s="377">
        <f>IF(E12="&lt;",F12*0.7,F12*1)</f>
        <v>0</v>
      </c>
      <c r="K12" s="92">
        <f t="shared" ref="K12:K19" si="0">IF(H12*I12&gt;0,2,1)</f>
        <v>1</v>
      </c>
      <c r="L12" s="96">
        <f t="shared" ref="L12:L19" si="1">(H12+I12)/K12</f>
        <v>0</v>
      </c>
      <c r="M12" s="96" t="str">
        <f>IF(H12*I12&gt;0,H12*I12,"")</f>
        <v/>
      </c>
      <c r="O12" s="104">
        <v>1</v>
      </c>
      <c r="P12" s="103"/>
      <c r="R12" s="124">
        <v>1</v>
      </c>
    </row>
    <row r="13" spans="1:21">
      <c r="A13" s="24"/>
      <c r="B13" s="29" t="s">
        <v>154</v>
      </c>
      <c r="C13" s="91"/>
      <c r="D13" s="91"/>
      <c r="E13" s="91"/>
      <c r="F13" s="91"/>
      <c r="H13" s="31">
        <f>D13*1</f>
        <v>0</v>
      </c>
      <c r="I13" s="31">
        <f>F13</f>
        <v>0</v>
      </c>
      <c r="K13" s="92">
        <f t="shared" si="0"/>
        <v>1</v>
      </c>
      <c r="L13" s="96">
        <f t="shared" si="1"/>
        <v>0</v>
      </c>
      <c r="O13" s="104">
        <v>1</v>
      </c>
      <c r="P13" s="103"/>
      <c r="R13" s="124"/>
    </row>
    <row r="14" spans="1:21">
      <c r="A14" s="24"/>
      <c r="B14" s="29" t="s">
        <v>155</v>
      </c>
      <c r="C14" s="91"/>
      <c r="D14" s="91"/>
      <c r="E14" s="91"/>
      <c r="F14" s="91"/>
      <c r="H14" s="377">
        <f t="shared" ref="H14:H18" si="2">IF(C14="&lt;",D14*0.7,D14*1)</f>
        <v>0</v>
      </c>
      <c r="I14" s="377">
        <f t="shared" ref="I14:I18" si="3">IF(E14="&lt;",F14*0.7,F14*1)</f>
        <v>0</v>
      </c>
      <c r="K14" s="92">
        <f t="shared" si="0"/>
        <v>1</v>
      </c>
      <c r="L14" s="96">
        <f t="shared" si="1"/>
        <v>0</v>
      </c>
      <c r="O14" s="104">
        <v>1</v>
      </c>
      <c r="P14" s="103"/>
      <c r="R14" s="124"/>
      <c r="S14" s="47">
        <f ca="1">omrekenen!J3</f>
        <v>2</v>
      </c>
      <c r="T14" s="47">
        <f ca="1">omrekenen!K3</f>
        <v>2</v>
      </c>
    </row>
    <row r="15" spans="1:21">
      <c r="A15" s="24"/>
      <c r="B15" s="25" t="s">
        <v>156</v>
      </c>
      <c r="C15" s="91"/>
      <c r="D15" s="91"/>
      <c r="E15" s="91"/>
      <c r="F15" s="91"/>
      <c r="H15" s="377">
        <f t="shared" si="2"/>
        <v>0</v>
      </c>
      <c r="I15" s="377">
        <f t="shared" si="3"/>
        <v>0</v>
      </c>
      <c r="K15" s="92">
        <f t="shared" si="0"/>
        <v>1</v>
      </c>
      <c r="L15" s="96">
        <f t="shared" si="1"/>
        <v>0</v>
      </c>
      <c r="O15" s="104">
        <v>1</v>
      </c>
      <c r="P15" s="103"/>
      <c r="R15" s="124"/>
    </row>
    <row r="16" spans="1:21">
      <c r="A16" s="24"/>
      <c r="B16" s="25" t="s">
        <v>157</v>
      </c>
      <c r="C16" s="91"/>
      <c r="D16" s="91"/>
      <c r="E16" s="91"/>
      <c r="F16" s="91"/>
      <c r="H16" s="377">
        <f t="shared" si="2"/>
        <v>0</v>
      </c>
      <c r="I16" s="377">
        <f t="shared" si="3"/>
        <v>0</v>
      </c>
      <c r="K16" s="92">
        <f t="shared" si="0"/>
        <v>1</v>
      </c>
      <c r="L16" s="96">
        <f t="shared" si="1"/>
        <v>0</v>
      </c>
      <c r="O16" s="100">
        <v>2</v>
      </c>
      <c r="R16" s="124"/>
    </row>
    <row r="17" spans="1:18">
      <c r="A17" s="24"/>
      <c r="B17" s="25" t="s">
        <v>158</v>
      </c>
      <c r="C17" s="91"/>
      <c r="D17" s="91"/>
      <c r="E17" s="91"/>
      <c r="F17" s="91"/>
      <c r="H17" s="377">
        <f t="shared" si="2"/>
        <v>0</v>
      </c>
      <c r="I17" s="377">
        <f t="shared" si="3"/>
        <v>0</v>
      </c>
      <c r="K17" s="92">
        <f t="shared" si="0"/>
        <v>1</v>
      </c>
      <c r="L17" s="96">
        <f t="shared" si="1"/>
        <v>0</v>
      </c>
      <c r="O17" s="104">
        <v>1</v>
      </c>
      <c r="P17" s="103"/>
      <c r="R17" s="124"/>
    </row>
    <row r="18" spans="1:18">
      <c r="A18" s="24"/>
      <c r="B18" s="25" t="s">
        <v>239</v>
      </c>
      <c r="C18" s="91"/>
      <c r="D18" s="91"/>
      <c r="E18" s="91"/>
      <c r="F18" s="91"/>
      <c r="H18" s="377">
        <f t="shared" si="2"/>
        <v>0</v>
      </c>
      <c r="I18" s="377">
        <f t="shared" si="3"/>
        <v>0</v>
      </c>
      <c r="K18" s="92">
        <f t="shared" si="0"/>
        <v>1</v>
      </c>
      <c r="L18" s="96">
        <f t="shared" si="1"/>
        <v>0</v>
      </c>
      <c r="O18" s="104">
        <v>1</v>
      </c>
      <c r="P18" s="103"/>
      <c r="R18" s="124"/>
    </row>
    <row r="19" spans="1:18">
      <c r="B19" s="11" t="s">
        <v>208</v>
      </c>
      <c r="C19" s="91"/>
      <c r="D19" s="91"/>
      <c r="E19" s="91"/>
      <c r="F19" s="91"/>
      <c r="H19" s="291">
        <f>D19</f>
        <v>0</v>
      </c>
      <c r="I19" s="291">
        <f>F19</f>
        <v>0</v>
      </c>
      <c r="K19" s="92">
        <f t="shared" si="0"/>
        <v>1</v>
      </c>
      <c r="L19" s="96">
        <f t="shared" si="1"/>
        <v>0</v>
      </c>
      <c r="O19" s="104">
        <v>1</v>
      </c>
      <c r="P19" s="103"/>
      <c r="R19" s="124"/>
    </row>
    <row r="20" spans="1:18">
      <c r="A20" s="32">
        <v>1</v>
      </c>
      <c r="B20" s="32" t="s">
        <v>346</v>
      </c>
      <c r="C20" s="91"/>
      <c r="D20" s="91"/>
      <c r="E20" s="91"/>
      <c r="F20" s="91"/>
      <c r="H20" s="33" t="s">
        <v>5</v>
      </c>
      <c r="I20" s="33" t="s">
        <v>5</v>
      </c>
      <c r="O20" s="104">
        <v>1</v>
      </c>
      <c r="P20" s="103"/>
      <c r="R20" s="124"/>
    </row>
    <row r="21" spans="1:18">
      <c r="B21" s="11" t="s">
        <v>9</v>
      </c>
      <c r="C21" s="421"/>
      <c r="D21" s="91"/>
      <c r="E21" s="91"/>
      <c r="F21" s="91"/>
      <c r="H21" s="34">
        <f t="shared" ref="H21:H34" si="4">IF(C21="&lt;",D21*0.7,D21*1)</f>
        <v>0</v>
      </c>
      <c r="I21" s="34">
        <f t="shared" ref="I21:I34" si="5">IF(E21="&lt;",F21*0.7,F21*1)</f>
        <v>0</v>
      </c>
      <c r="J21" s="12">
        <f t="shared" ref="J21:J29" si="6">IF(D21+F21&gt;0,1,0)</f>
        <v>0</v>
      </c>
      <c r="K21" s="92">
        <f t="shared" ref="K21:K34" si="7">IF(H21*I21&gt;0,2,1)</f>
        <v>1</v>
      </c>
      <c r="L21" s="96">
        <f t="shared" ref="L21:L34" si="8">(H21+I21)/K21</f>
        <v>0</v>
      </c>
      <c r="N21" s="92">
        <f>IF(D21+F21&gt;0,1,0)</f>
        <v>0</v>
      </c>
      <c r="O21" s="100"/>
      <c r="R21" s="124">
        <v>1.5</v>
      </c>
    </row>
    <row r="22" spans="1:18">
      <c r="B22" s="11" t="s">
        <v>10</v>
      </c>
      <c r="C22" s="91"/>
      <c r="D22" s="91"/>
      <c r="E22" s="91"/>
      <c r="F22" s="91"/>
      <c r="H22" s="34">
        <f t="shared" si="4"/>
        <v>0</v>
      </c>
      <c r="I22" s="34">
        <f t="shared" si="5"/>
        <v>0</v>
      </c>
      <c r="J22" s="12">
        <f t="shared" si="6"/>
        <v>0</v>
      </c>
      <c r="K22" s="92">
        <f t="shared" si="7"/>
        <v>1</v>
      </c>
      <c r="L22" s="96">
        <f t="shared" si="8"/>
        <v>0</v>
      </c>
      <c r="N22" s="92">
        <f t="shared" ref="N22:N34" si="9">IF(D22+F22&gt;0,1,0)</f>
        <v>0</v>
      </c>
      <c r="O22" s="100">
        <v>2</v>
      </c>
      <c r="R22" s="124">
        <v>4</v>
      </c>
    </row>
    <row r="23" spans="1:18">
      <c r="B23" s="11" t="s">
        <v>11</v>
      </c>
      <c r="C23" s="91"/>
      <c r="D23" s="91"/>
      <c r="E23" s="91"/>
      <c r="F23" s="91"/>
      <c r="H23" s="34">
        <f t="shared" si="4"/>
        <v>0</v>
      </c>
      <c r="I23" s="34">
        <f t="shared" si="5"/>
        <v>0</v>
      </c>
      <c r="J23" s="12">
        <f t="shared" si="6"/>
        <v>0</v>
      </c>
      <c r="K23" s="92">
        <f t="shared" si="7"/>
        <v>1</v>
      </c>
      <c r="L23" s="96">
        <f t="shared" si="8"/>
        <v>0</v>
      </c>
      <c r="N23" s="92">
        <f t="shared" si="9"/>
        <v>0</v>
      </c>
      <c r="O23" s="104">
        <v>1</v>
      </c>
      <c r="P23" s="103"/>
      <c r="R23" s="124">
        <v>20</v>
      </c>
    </row>
    <row r="24" spans="1:18">
      <c r="B24" s="11" t="s">
        <v>12</v>
      </c>
      <c r="C24" s="91"/>
      <c r="D24" s="91"/>
      <c r="E24" s="91"/>
      <c r="F24" s="91"/>
      <c r="H24" s="34">
        <f t="shared" si="4"/>
        <v>0</v>
      </c>
      <c r="I24" s="34">
        <f t="shared" si="5"/>
        <v>0</v>
      </c>
      <c r="J24" s="12">
        <f t="shared" si="6"/>
        <v>0</v>
      </c>
      <c r="K24" s="92">
        <f t="shared" si="7"/>
        <v>1</v>
      </c>
      <c r="L24" s="96">
        <f t="shared" si="8"/>
        <v>0</v>
      </c>
      <c r="N24" s="92">
        <f t="shared" si="9"/>
        <v>0</v>
      </c>
      <c r="O24" s="104">
        <v>1</v>
      </c>
      <c r="P24" s="103"/>
      <c r="R24" s="124">
        <v>0.2</v>
      </c>
    </row>
    <row r="25" spans="1:18">
      <c r="B25" s="11" t="s">
        <v>163</v>
      </c>
      <c r="C25" s="91"/>
      <c r="D25" s="91"/>
      <c r="E25" s="91"/>
      <c r="F25" s="91"/>
      <c r="H25" s="34">
        <f t="shared" si="4"/>
        <v>0</v>
      </c>
      <c r="I25" s="34">
        <f t="shared" si="5"/>
        <v>0</v>
      </c>
      <c r="J25" s="12">
        <f t="shared" si="6"/>
        <v>0</v>
      </c>
      <c r="K25" s="92">
        <f t="shared" si="7"/>
        <v>1</v>
      </c>
      <c r="L25" s="96">
        <f t="shared" si="8"/>
        <v>0</v>
      </c>
      <c r="N25" s="92">
        <f t="shared" si="9"/>
        <v>0</v>
      </c>
      <c r="O25" s="100">
        <v>2</v>
      </c>
      <c r="R25" s="124">
        <v>10</v>
      </c>
    </row>
    <row r="26" spans="1:18">
      <c r="B26" s="11" t="s">
        <v>13</v>
      </c>
      <c r="C26" s="91"/>
      <c r="D26" s="91"/>
      <c r="E26" s="91"/>
      <c r="F26" s="91"/>
      <c r="H26" s="34">
        <f t="shared" si="4"/>
        <v>0</v>
      </c>
      <c r="I26" s="34">
        <f t="shared" si="5"/>
        <v>0</v>
      </c>
      <c r="J26" s="12">
        <f t="shared" si="6"/>
        <v>0</v>
      </c>
      <c r="K26" s="92">
        <f t="shared" si="7"/>
        <v>1</v>
      </c>
      <c r="L26" s="96">
        <f t="shared" si="8"/>
        <v>0</v>
      </c>
      <c r="N26" s="92">
        <f t="shared" si="9"/>
        <v>0</v>
      </c>
      <c r="O26" s="104">
        <v>1</v>
      </c>
      <c r="P26" s="103"/>
      <c r="R26" s="124">
        <v>3</v>
      </c>
    </row>
    <row r="27" spans="1:18">
      <c r="B27" s="11" t="s">
        <v>14</v>
      </c>
      <c r="C27" s="91"/>
      <c r="D27" s="91"/>
      <c r="E27" s="91"/>
      <c r="F27" s="91"/>
      <c r="H27" s="34">
        <f t="shared" si="4"/>
        <v>0</v>
      </c>
      <c r="I27" s="34">
        <f t="shared" si="5"/>
        <v>0</v>
      </c>
      <c r="J27" s="12">
        <f t="shared" si="6"/>
        <v>0</v>
      </c>
      <c r="K27" s="92">
        <f t="shared" si="7"/>
        <v>1</v>
      </c>
      <c r="L27" s="96">
        <f t="shared" si="8"/>
        <v>0</v>
      </c>
      <c r="N27" s="92">
        <f t="shared" si="9"/>
        <v>0</v>
      </c>
      <c r="O27" s="104">
        <v>1</v>
      </c>
      <c r="P27" s="103"/>
      <c r="R27" s="124">
        <v>5</v>
      </c>
    </row>
    <row r="28" spans="1:18">
      <c r="B28" s="11" t="s">
        <v>15</v>
      </c>
      <c r="C28" s="91"/>
      <c r="D28" s="91"/>
      <c r="E28" s="91"/>
      <c r="F28" s="91"/>
      <c r="H28" s="34">
        <f t="shared" si="4"/>
        <v>0</v>
      </c>
      <c r="I28" s="34">
        <f t="shared" si="5"/>
        <v>0</v>
      </c>
      <c r="J28" s="12">
        <f t="shared" si="6"/>
        <v>0</v>
      </c>
      <c r="K28" s="92">
        <f t="shared" si="7"/>
        <v>1</v>
      </c>
      <c r="L28" s="96">
        <f t="shared" si="8"/>
        <v>0</v>
      </c>
      <c r="N28" s="92">
        <f t="shared" si="9"/>
        <v>0</v>
      </c>
      <c r="O28" s="104">
        <v>1</v>
      </c>
      <c r="P28" s="103"/>
      <c r="R28" s="124">
        <v>0.05</v>
      </c>
    </row>
    <row r="29" spans="1:18">
      <c r="B29" s="11" t="s">
        <v>16</v>
      </c>
      <c r="C29" s="91"/>
      <c r="D29" s="91"/>
      <c r="E29" s="91"/>
      <c r="F29" s="91"/>
      <c r="H29" s="34">
        <f t="shared" si="4"/>
        <v>0</v>
      </c>
      <c r="I29" s="34">
        <f t="shared" si="5"/>
        <v>0</v>
      </c>
      <c r="J29" s="12">
        <f t="shared" si="6"/>
        <v>0</v>
      </c>
      <c r="K29" s="92">
        <f t="shared" si="7"/>
        <v>1</v>
      </c>
      <c r="L29" s="96">
        <f t="shared" si="8"/>
        <v>0</v>
      </c>
      <c r="N29" s="92">
        <f t="shared" si="9"/>
        <v>0</v>
      </c>
      <c r="O29" s="104">
        <v>1</v>
      </c>
      <c r="P29" s="103"/>
      <c r="R29" s="124">
        <v>10</v>
      </c>
    </row>
    <row r="30" spans="1:18">
      <c r="B30" s="11" t="s">
        <v>17</v>
      </c>
      <c r="C30" s="91"/>
      <c r="D30" s="91"/>
      <c r="E30" s="91"/>
      <c r="F30" s="91"/>
      <c r="H30" s="34">
        <f t="shared" si="4"/>
        <v>0</v>
      </c>
      <c r="I30" s="34">
        <f t="shared" si="5"/>
        <v>0</v>
      </c>
      <c r="J30" s="12">
        <f>IF(D30+F30&gt;0,1,0)</f>
        <v>0</v>
      </c>
      <c r="K30" s="92">
        <f t="shared" si="7"/>
        <v>1</v>
      </c>
      <c r="L30" s="96">
        <f t="shared" si="8"/>
        <v>0</v>
      </c>
      <c r="N30" s="92">
        <f t="shared" si="9"/>
        <v>0</v>
      </c>
      <c r="O30" s="104">
        <v>1</v>
      </c>
      <c r="P30" s="103"/>
      <c r="R30" s="124">
        <v>1.5</v>
      </c>
    </row>
    <row r="31" spans="1:18">
      <c r="B31" s="11" t="s">
        <v>18</v>
      </c>
      <c r="C31" s="91"/>
      <c r="D31" s="91"/>
      <c r="E31" s="91"/>
      <c r="F31" s="91"/>
      <c r="H31" s="34">
        <f t="shared" si="4"/>
        <v>0</v>
      </c>
      <c r="I31" s="34">
        <f t="shared" si="5"/>
        <v>0</v>
      </c>
      <c r="J31" s="12">
        <f t="shared" ref="J31:J34" si="10">IF(D31+F31&gt;0,1,0)</f>
        <v>0</v>
      </c>
      <c r="K31" s="92">
        <f t="shared" si="7"/>
        <v>1</v>
      </c>
      <c r="L31" s="96">
        <f t="shared" si="8"/>
        <v>0</v>
      </c>
      <c r="N31" s="92">
        <f t="shared" si="9"/>
        <v>0</v>
      </c>
      <c r="O31" s="104">
        <v>1</v>
      </c>
      <c r="P31" s="103"/>
      <c r="R31" s="124">
        <v>4</v>
      </c>
    </row>
    <row r="32" spans="1:18">
      <c r="B32" s="11" t="s">
        <v>19</v>
      </c>
      <c r="C32" s="91"/>
      <c r="D32" s="91"/>
      <c r="E32" s="91"/>
      <c r="F32" s="91"/>
      <c r="H32" s="34">
        <f t="shared" si="4"/>
        <v>0</v>
      </c>
      <c r="I32" s="34">
        <f t="shared" si="5"/>
        <v>0</v>
      </c>
      <c r="J32" s="12">
        <f t="shared" si="10"/>
        <v>0</v>
      </c>
      <c r="K32" s="92">
        <f t="shared" si="7"/>
        <v>1</v>
      </c>
      <c r="L32" s="96">
        <f t="shared" si="8"/>
        <v>0</v>
      </c>
      <c r="N32" s="92">
        <f t="shared" si="9"/>
        <v>0</v>
      </c>
      <c r="O32" s="100"/>
      <c r="R32" s="124">
        <v>1.5</v>
      </c>
    </row>
    <row r="33" spans="2:18">
      <c r="B33" s="11" t="s">
        <v>20</v>
      </c>
      <c r="C33" s="91"/>
      <c r="D33" s="91"/>
      <c r="E33" s="91"/>
      <c r="F33" s="91"/>
      <c r="H33" s="34">
        <f t="shared" si="4"/>
        <v>0</v>
      </c>
      <c r="I33" s="34">
        <f t="shared" si="5"/>
        <v>0</v>
      </c>
      <c r="J33" s="12">
        <f t="shared" si="10"/>
        <v>0</v>
      </c>
      <c r="K33" s="92">
        <f t="shared" si="7"/>
        <v>1</v>
      </c>
      <c r="L33" s="96">
        <f t="shared" si="8"/>
        <v>0</v>
      </c>
      <c r="N33" s="92">
        <f t="shared" si="9"/>
        <v>0</v>
      </c>
      <c r="O33" s="100"/>
      <c r="R33" s="124">
        <v>10</v>
      </c>
    </row>
    <row r="34" spans="2:18">
      <c r="B34" s="11" t="s">
        <v>21</v>
      </c>
      <c r="C34" s="91"/>
      <c r="D34" s="91"/>
      <c r="E34" s="91"/>
      <c r="F34" s="91"/>
      <c r="H34" s="34">
        <f t="shared" si="4"/>
        <v>0</v>
      </c>
      <c r="I34" s="34">
        <f t="shared" si="5"/>
        <v>0</v>
      </c>
      <c r="J34" s="12">
        <f t="shared" si="10"/>
        <v>0</v>
      </c>
      <c r="K34" s="92">
        <f t="shared" si="7"/>
        <v>1</v>
      </c>
      <c r="L34" s="96">
        <f t="shared" si="8"/>
        <v>0</v>
      </c>
      <c r="N34" s="92">
        <f t="shared" si="9"/>
        <v>0</v>
      </c>
      <c r="O34" s="104">
        <v>1</v>
      </c>
      <c r="P34" s="103"/>
      <c r="R34" s="124">
        <v>20</v>
      </c>
    </row>
    <row r="35" spans="2:18">
      <c r="C35" s="91"/>
      <c r="D35" s="91"/>
      <c r="E35" s="91"/>
      <c r="F35" s="91"/>
      <c r="H35" s="12"/>
      <c r="I35" s="12"/>
      <c r="O35" s="100"/>
      <c r="R35" s="124"/>
    </row>
    <row r="36" spans="2:18">
      <c r="B36" s="35" t="s">
        <v>252</v>
      </c>
      <c r="C36" s="91"/>
      <c r="D36" s="91"/>
      <c r="E36" s="91"/>
      <c r="F36" s="91"/>
      <c r="H36" s="12"/>
      <c r="I36" s="12"/>
      <c r="O36" s="104">
        <v>1</v>
      </c>
      <c r="P36" s="103"/>
      <c r="R36" s="124"/>
    </row>
    <row r="37" spans="2:18">
      <c r="B37" s="11" t="s">
        <v>9</v>
      </c>
      <c r="C37" s="91"/>
      <c r="D37" s="91"/>
      <c r="E37" s="91"/>
      <c r="F37" s="91"/>
      <c r="H37" s="36">
        <f t="shared" ref="H37:H51" si="11">IF(C37="&lt;",D37*0.7,D37*1)</f>
        <v>0</v>
      </c>
      <c r="I37" s="36">
        <f t="shared" ref="I37:I51" si="12">IF(E37="&lt;",F37*0.7,F37*1)</f>
        <v>0</v>
      </c>
      <c r="J37" s="12">
        <f t="shared" ref="J37:J51" si="13">IF(D37+F37&gt;0,1,0)</f>
        <v>0</v>
      </c>
      <c r="K37" s="92">
        <f t="shared" ref="K37:K51" si="14">IF(H37*I37&gt;0,2,1)</f>
        <v>1</v>
      </c>
      <c r="L37" s="96">
        <f t="shared" ref="L37:L51" si="15">(H37+I37)/K37</f>
        <v>0</v>
      </c>
      <c r="N37" s="92"/>
      <c r="O37" s="100"/>
      <c r="R37" s="124"/>
    </row>
    <row r="38" spans="2:18">
      <c r="B38" s="11" t="s">
        <v>10</v>
      </c>
      <c r="C38" s="91"/>
      <c r="D38" s="91"/>
      <c r="E38" s="91"/>
      <c r="F38" s="91"/>
      <c r="H38" s="36">
        <f t="shared" si="11"/>
        <v>0</v>
      </c>
      <c r="I38" s="36">
        <f t="shared" si="12"/>
        <v>0</v>
      </c>
      <c r="J38" s="12">
        <f t="shared" si="13"/>
        <v>0</v>
      </c>
      <c r="K38" s="92">
        <f t="shared" si="14"/>
        <v>1</v>
      </c>
      <c r="L38" s="96">
        <f t="shared" si="15"/>
        <v>0</v>
      </c>
      <c r="N38" s="92"/>
      <c r="O38" s="100">
        <v>2</v>
      </c>
      <c r="R38" s="124"/>
    </row>
    <row r="39" spans="2:18">
      <c r="B39" s="11" t="s">
        <v>11</v>
      </c>
      <c r="C39" s="91"/>
      <c r="D39" s="91"/>
      <c r="E39" s="91"/>
      <c r="F39" s="91"/>
      <c r="H39" s="36">
        <f t="shared" si="11"/>
        <v>0</v>
      </c>
      <c r="I39" s="36">
        <f t="shared" si="12"/>
        <v>0</v>
      </c>
      <c r="J39" s="12">
        <f t="shared" si="13"/>
        <v>0</v>
      </c>
      <c r="K39" s="92">
        <f t="shared" si="14"/>
        <v>1</v>
      </c>
      <c r="L39" s="96">
        <f t="shared" si="15"/>
        <v>0</v>
      </c>
      <c r="N39" s="92"/>
      <c r="O39" s="104">
        <v>1</v>
      </c>
      <c r="P39" s="103"/>
      <c r="R39" s="124"/>
    </row>
    <row r="40" spans="2:18">
      <c r="B40" s="11" t="s">
        <v>12</v>
      </c>
      <c r="C40" s="91"/>
      <c r="D40" s="91"/>
      <c r="E40" s="91"/>
      <c r="F40" s="91"/>
      <c r="H40" s="36">
        <f t="shared" si="11"/>
        <v>0</v>
      </c>
      <c r="I40" s="36">
        <f t="shared" si="12"/>
        <v>0</v>
      </c>
      <c r="J40" s="12">
        <f t="shared" si="13"/>
        <v>0</v>
      </c>
      <c r="K40" s="92">
        <f t="shared" si="14"/>
        <v>1</v>
      </c>
      <c r="L40" s="96">
        <f t="shared" si="15"/>
        <v>0</v>
      </c>
      <c r="N40" s="92"/>
      <c r="O40" s="104">
        <v>1</v>
      </c>
      <c r="P40" s="103"/>
      <c r="R40" s="124"/>
    </row>
    <row r="41" spans="2:18">
      <c r="B41" s="11" t="s">
        <v>163</v>
      </c>
      <c r="C41" s="91"/>
      <c r="D41" s="91"/>
      <c r="E41" s="91"/>
      <c r="F41" s="91"/>
      <c r="H41" s="36">
        <f t="shared" si="11"/>
        <v>0</v>
      </c>
      <c r="I41" s="36">
        <f t="shared" si="12"/>
        <v>0</v>
      </c>
      <c r="J41" s="12">
        <f t="shared" si="13"/>
        <v>0</v>
      </c>
      <c r="K41" s="92">
        <f t="shared" si="14"/>
        <v>1</v>
      </c>
      <c r="L41" s="96">
        <f t="shared" si="15"/>
        <v>0</v>
      </c>
      <c r="N41" s="92"/>
      <c r="O41" s="100">
        <v>2</v>
      </c>
      <c r="R41" s="124"/>
    </row>
    <row r="42" spans="2:18">
      <c r="B42" s="11" t="s">
        <v>13</v>
      </c>
      <c r="C42" s="91"/>
      <c r="D42" s="91"/>
      <c r="E42" s="91"/>
      <c r="F42" s="91"/>
      <c r="H42" s="36">
        <f t="shared" si="11"/>
        <v>0</v>
      </c>
      <c r="I42" s="36">
        <f t="shared" si="12"/>
        <v>0</v>
      </c>
      <c r="J42" s="12">
        <f t="shared" si="13"/>
        <v>0</v>
      </c>
      <c r="K42" s="92">
        <f t="shared" si="14"/>
        <v>1</v>
      </c>
      <c r="L42" s="96">
        <f t="shared" si="15"/>
        <v>0</v>
      </c>
      <c r="N42" s="92"/>
      <c r="O42" s="104">
        <v>1</v>
      </c>
      <c r="P42" s="103"/>
      <c r="R42" s="124"/>
    </row>
    <row r="43" spans="2:18">
      <c r="B43" s="11" t="s">
        <v>14</v>
      </c>
      <c r="C43" s="91"/>
      <c r="D43" s="91"/>
      <c r="E43" s="91"/>
      <c r="F43" s="91"/>
      <c r="H43" s="36">
        <f t="shared" si="11"/>
        <v>0</v>
      </c>
      <c r="I43" s="36">
        <f t="shared" si="12"/>
        <v>0</v>
      </c>
      <c r="J43" s="12">
        <f t="shared" si="13"/>
        <v>0</v>
      </c>
      <c r="K43" s="92">
        <f t="shared" si="14"/>
        <v>1</v>
      </c>
      <c r="L43" s="96">
        <f t="shared" si="15"/>
        <v>0</v>
      </c>
      <c r="N43" s="92"/>
      <c r="O43" s="104">
        <v>1</v>
      </c>
      <c r="P43" s="103"/>
      <c r="R43" s="124"/>
    </row>
    <row r="44" spans="2:18">
      <c r="B44" s="11" t="s">
        <v>15</v>
      </c>
      <c r="C44" s="91"/>
      <c r="D44" s="91"/>
      <c r="E44" s="91"/>
      <c r="F44" s="91"/>
      <c r="H44" s="36">
        <f t="shared" si="11"/>
        <v>0</v>
      </c>
      <c r="I44" s="36">
        <f t="shared" si="12"/>
        <v>0</v>
      </c>
      <c r="J44" s="12">
        <f t="shared" si="13"/>
        <v>0</v>
      </c>
      <c r="K44" s="92">
        <f t="shared" si="14"/>
        <v>1</v>
      </c>
      <c r="L44" s="96">
        <f t="shared" si="15"/>
        <v>0</v>
      </c>
      <c r="N44" s="92"/>
      <c r="O44" s="104">
        <v>1</v>
      </c>
      <c r="P44" s="103"/>
      <c r="R44" s="124"/>
    </row>
    <row r="45" spans="2:18">
      <c r="B45" s="11" t="s">
        <v>16</v>
      </c>
      <c r="C45" s="91"/>
      <c r="D45" s="91"/>
      <c r="E45" s="91"/>
      <c r="F45" s="91"/>
      <c r="H45" s="36">
        <f t="shared" si="11"/>
        <v>0</v>
      </c>
      <c r="I45" s="36">
        <f t="shared" si="12"/>
        <v>0</v>
      </c>
      <c r="J45" s="12">
        <f t="shared" si="13"/>
        <v>0</v>
      </c>
      <c r="K45" s="92">
        <f t="shared" si="14"/>
        <v>1</v>
      </c>
      <c r="L45" s="96">
        <f t="shared" si="15"/>
        <v>0</v>
      </c>
      <c r="N45" s="92"/>
      <c r="O45" s="104">
        <v>1</v>
      </c>
      <c r="P45" s="103"/>
      <c r="R45" s="124"/>
    </row>
    <row r="46" spans="2:18">
      <c r="B46" s="11" t="s">
        <v>17</v>
      </c>
      <c r="C46" s="91"/>
      <c r="D46" s="91"/>
      <c r="E46" s="91"/>
      <c r="F46" s="91"/>
      <c r="H46" s="36">
        <f t="shared" si="11"/>
        <v>0</v>
      </c>
      <c r="I46" s="36">
        <f t="shared" si="12"/>
        <v>0</v>
      </c>
      <c r="J46" s="12">
        <f t="shared" si="13"/>
        <v>0</v>
      </c>
      <c r="K46" s="92">
        <f t="shared" si="14"/>
        <v>1</v>
      </c>
      <c r="L46" s="96">
        <f t="shared" si="15"/>
        <v>0</v>
      </c>
      <c r="N46" s="92"/>
      <c r="O46" s="104">
        <v>1</v>
      </c>
      <c r="P46" s="103"/>
      <c r="R46" s="124"/>
    </row>
    <row r="47" spans="2:18">
      <c r="B47" s="11" t="s">
        <v>18</v>
      </c>
      <c r="C47" s="91"/>
      <c r="D47" s="91"/>
      <c r="E47" s="91"/>
      <c r="F47" s="91"/>
      <c r="H47" s="36">
        <f t="shared" si="11"/>
        <v>0</v>
      </c>
      <c r="I47" s="36">
        <f t="shared" si="12"/>
        <v>0</v>
      </c>
      <c r="J47" s="12">
        <f t="shared" si="13"/>
        <v>0</v>
      </c>
      <c r="K47" s="92">
        <f t="shared" si="14"/>
        <v>1</v>
      </c>
      <c r="L47" s="96">
        <f t="shared" si="15"/>
        <v>0</v>
      </c>
      <c r="N47" s="92"/>
      <c r="O47" s="104">
        <v>1</v>
      </c>
      <c r="P47" s="103"/>
      <c r="R47" s="124"/>
    </row>
    <row r="48" spans="2:18">
      <c r="B48" s="11" t="s">
        <v>259</v>
      </c>
      <c r="C48" s="91"/>
      <c r="D48" s="91"/>
      <c r="E48" s="91"/>
      <c r="F48" s="91"/>
      <c r="H48" s="36">
        <f t="shared" si="11"/>
        <v>0</v>
      </c>
      <c r="I48" s="36">
        <f t="shared" si="12"/>
        <v>0</v>
      </c>
      <c r="J48" s="12">
        <f t="shared" si="13"/>
        <v>0</v>
      </c>
      <c r="K48" s="92">
        <f>IF(H48*I48&gt;0,2,1)</f>
        <v>1</v>
      </c>
      <c r="L48" s="96">
        <f>(H48+I48)/K48</f>
        <v>0</v>
      </c>
      <c r="N48" s="92"/>
      <c r="O48" s="100"/>
      <c r="R48" s="124"/>
    </row>
    <row r="49" spans="1:18">
      <c r="B49" s="11" t="s">
        <v>19</v>
      </c>
      <c r="C49" s="91"/>
      <c r="D49" s="91"/>
      <c r="E49" s="91"/>
      <c r="F49" s="91"/>
      <c r="H49" s="36">
        <f t="shared" si="11"/>
        <v>0</v>
      </c>
      <c r="I49" s="36">
        <f t="shared" si="12"/>
        <v>0</v>
      </c>
      <c r="J49" s="12">
        <f t="shared" si="13"/>
        <v>0</v>
      </c>
      <c r="K49" s="92">
        <f t="shared" si="14"/>
        <v>1</v>
      </c>
      <c r="L49" s="96">
        <f t="shared" si="15"/>
        <v>0</v>
      </c>
      <c r="N49" s="92"/>
      <c r="O49" s="100"/>
      <c r="R49" s="124"/>
    </row>
    <row r="50" spans="1:18">
      <c r="B50" s="11" t="s">
        <v>20</v>
      </c>
      <c r="C50" s="91"/>
      <c r="D50" s="91"/>
      <c r="E50" s="91"/>
      <c r="F50" s="91"/>
      <c r="H50" s="36">
        <f t="shared" si="11"/>
        <v>0</v>
      </c>
      <c r="I50" s="36">
        <f t="shared" si="12"/>
        <v>0</v>
      </c>
      <c r="J50" s="12">
        <f t="shared" si="13"/>
        <v>0</v>
      </c>
      <c r="K50" s="92">
        <f t="shared" si="14"/>
        <v>1</v>
      </c>
      <c r="L50" s="96">
        <f t="shared" si="15"/>
        <v>0</v>
      </c>
      <c r="N50" s="92"/>
      <c r="O50" s="100"/>
      <c r="R50" s="124"/>
    </row>
    <row r="51" spans="1:18">
      <c r="B51" s="11" t="s">
        <v>21</v>
      </c>
      <c r="C51" s="91"/>
      <c r="D51" s="91"/>
      <c r="E51" s="91"/>
      <c r="F51" s="91"/>
      <c r="H51" s="36">
        <f t="shared" si="11"/>
        <v>0</v>
      </c>
      <c r="I51" s="36">
        <f t="shared" si="12"/>
        <v>0</v>
      </c>
      <c r="J51" s="12">
        <f t="shared" si="13"/>
        <v>0</v>
      </c>
      <c r="K51" s="92">
        <f t="shared" si="14"/>
        <v>1</v>
      </c>
      <c r="L51" s="96">
        <f t="shared" si="15"/>
        <v>0</v>
      </c>
      <c r="N51" s="92"/>
      <c r="O51" s="104">
        <v>1</v>
      </c>
      <c r="P51" s="103"/>
      <c r="R51" s="124"/>
    </row>
    <row r="52" spans="1:18">
      <c r="C52" s="91"/>
      <c r="D52" s="91"/>
      <c r="E52" s="91"/>
      <c r="F52" s="91"/>
      <c r="H52" s="36"/>
      <c r="I52" s="36"/>
      <c r="O52" s="100"/>
      <c r="R52" s="124"/>
    </row>
    <row r="53" spans="1:18">
      <c r="B53" s="11" t="s">
        <v>242</v>
      </c>
      <c r="C53" s="91"/>
      <c r="D53" s="91"/>
      <c r="E53" s="91"/>
      <c r="F53" s="91"/>
      <c r="H53" s="377">
        <f t="shared" ref="H53:H58" si="16">IF(C53="&lt;",D53*0.7,D53*1)</f>
        <v>0</v>
      </c>
      <c r="I53" s="377">
        <f t="shared" ref="I53:I58" si="17">IF(E53="&lt;",F53*0.7,F53*1)</f>
        <v>0</v>
      </c>
      <c r="J53" s="12">
        <f t="shared" ref="J53:J58" si="18">IF(D53+F53&gt;0,1,0)</f>
        <v>0</v>
      </c>
      <c r="K53" s="92">
        <f t="shared" ref="K53:K58" si="19">IF(H53*I53&gt;0,2,1)</f>
        <v>1</v>
      </c>
      <c r="L53" s="96">
        <f t="shared" ref="L53:L58" si="20">(H53+I53)/K53</f>
        <v>0</v>
      </c>
      <c r="O53" s="100"/>
      <c r="R53" s="124"/>
    </row>
    <row r="54" spans="1:18">
      <c r="B54" s="11" t="s">
        <v>243</v>
      </c>
      <c r="C54" s="91"/>
      <c r="D54" s="91"/>
      <c r="E54" s="91"/>
      <c r="F54" s="91"/>
      <c r="H54" s="377">
        <f t="shared" si="16"/>
        <v>0</v>
      </c>
      <c r="I54" s="377">
        <f t="shared" si="17"/>
        <v>0</v>
      </c>
      <c r="J54" s="12">
        <f t="shared" si="18"/>
        <v>0</v>
      </c>
      <c r="K54" s="92">
        <f t="shared" si="19"/>
        <v>1</v>
      </c>
      <c r="L54" s="96">
        <f t="shared" si="20"/>
        <v>0</v>
      </c>
      <c r="O54" s="100"/>
      <c r="R54" s="124"/>
    </row>
    <row r="55" spans="1:18">
      <c r="B55" s="11" t="s">
        <v>244</v>
      </c>
      <c r="C55" s="91"/>
      <c r="D55" s="91"/>
      <c r="E55" s="91"/>
      <c r="F55" s="91"/>
      <c r="H55" s="377">
        <f t="shared" si="16"/>
        <v>0</v>
      </c>
      <c r="I55" s="377">
        <f t="shared" si="17"/>
        <v>0</v>
      </c>
      <c r="J55" s="12">
        <f t="shared" si="18"/>
        <v>0</v>
      </c>
      <c r="K55" s="92">
        <f t="shared" si="19"/>
        <v>1</v>
      </c>
      <c r="L55" s="96">
        <f t="shared" si="20"/>
        <v>0</v>
      </c>
      <c r="O55" s="100"/>
      <c r="R55" s="124"/>
    </row>
    <row r="56" spans="1:18">
      <c r="B56" s="11" t="s">
        <v>245</v>
      </c>
      <c r="C56" s="91"/>
      <c r="D56" s="91"/>
      <c r="E56" s="91"/>
      <c r="F56" s="91"/>
      <c r="H56" s="377">
        <f t="shared" si="16"/>
        <v>0</v>
      </c>
      <c r="I56" s="377">
        <f t="shared" si="17"/>
        <v>0</v>
      </c>
      <c r="J56" s="12">
        <f t="shared" si="18"/>
        <v>0</v>
      </c>
      <c r="K56" s="92">
        <f t="shared" si="19"/>
        <v>1</v>
      </c>
      <c r="L56" s="96">
        <f t="shared" si="20"/>
        <v>0</v>
      </c>
      <c r="O56" s="100"/>
      <c r="R56" s="124"/>
    </row>
    <row r="57" spans="1:18">
      <c r="B57" s="11" t="s">
        <v>246</v>
      </c>
      <c r="C57" s="91"/>
      <c r="D57" s="91"/>
      <c r="E57" s="91"/>
      <c r="F57" s="91"/>
      <c r="H57" s="377">
        <f t="shared" si="16"/>
        <v>0</v>
      </c>
      <c r="I57" s="377">
        <f t="shared" si="17"/>
        <v>0</v>
      </c>
      <c r="J57" s="12">
        <f t="shared" si="18"/>
        <v>0</v>
      </c>
      <c r="K57" s="92">
        <f t="shared" si="19"/>
        <v>1</v>
      </c>
      <c r="L57" s="96">
        <f t="shared" si="20"/>
        <v>0</v>
      </c>
      <c r="O57" s="100"/>
      <c r="R57" s="124"/>
    </row>
    <row r="58" spans="1:18">
      <c r="B58" s="11" t="s">
        <v>247</v>
      </c>
      <c r="C58" s="91"/>
      <c r="D58" s="91"/>
      <c r="E58" s="91"/>
      <c r="F58" s="91"/>
      <c r="H58" s="377">
        <f t="shared" si="16"/>
        <v>0</v>
      </c>
      <c r="I58" s="377">
        <f t="shared" si="17"/>
        <v>0</v>
      </c>
      <c r="J58" s="12">
        <f t="shared" si="18"/>
        <v>0</v>
      </c>
      <c r="K58" s="92">
        <f t="shared" si="19"/>
        <v>1</v>
      </c>
      <c r="L58" s="96">
        <f t="shared" si="20"/>
        <v>0</v>
      </c>
      <c r="O58" s="100"/>
      <c r="R58" s="124"/>
    </row>
    <row r="59" spans="1:18">
      <c r="C59" s="91"/>
      <c r="D59" s="91"/>
      <c r="E59" s="91"/>
      <c r="F59" s="91"/>
      <c r="H59" s="12"/>
      <c r="I59" s="12"/>
      <c r="O59" s="100"/>
      <c r="R59" s="124" t="s">
        <v>278</v>
      </c>
    </row>
    <row r="60" spans="1:18">
      <c r="A60" s="32">
        <v>2</v>
      </c>
      <c r="B60" s="32" t="s">
        <v>347</v>
      </c>
      <c r="C60" s="91"/>
      <c r="D60" s="91" t="s">
        <v>654</v>
      </c>
      <c r="E60" s="91"/>
      <c r="F60" s="91" t="s">
        <v>654</v>
      </c>
      <c r="H60" s="33" t="s">
        <v>5</v>
      </c>
      <c r="I60" s="33" t="s">
        <v>5</v>
      </c>
      <c r="O60" s="100"/>
      <c r="R60" s="125" t="s">
        <v>5</v>
      </c>
    </row>
    <row r="61" spans="1:18">
      <c r="B61" s="11" t="s">
        <v>23</v>
      </c>
      <c r="C61" s="91"/>
      <c r="D61" s="91"/>
      <c r="E61" s="91"/>
      <c r="F61" s="91"/>
      <c r="H61" s="377">
        <f t="shared" ref="H61:H66" si="21">IF(C61="&lt;",D61*0.7,D61*1)</f>
        <v>0</v>
      </c>
      <c r="I61" s="377">
        <f t="shared" ref="I61:I66" si="22">IF(E61="&lt;",F61*0.7,F61*1)</f>
        <v>0</v>
      </c>
      <c r="J61" s="12">
        <f t="shared" ref="J61:J66" si="23">IF(D61+F61&gt;0,1,0)</f>
        <v>0</v>
      </c>
      <c r="K61" s="92">
        <f t="shared" ref="K61:K66" si="24">IF(H61*I61&gt;0,2,1)</f>
        <v>1</v>
      </c>
      <c r="L61" s="96">
        <f t="shared" ref="L61:L66" si="25">(H61+I61)/K61</f>
        <v>0</v>
      </c>
      <c r="N61" s="92">
        <f t="shared" ref="N61:N66" si="26">IF(D61+F61&gt;0,1,0)</f>
        <v>0</v>
      </c>
      <c r="O61" s="100"/>
      <c r="R61" s="124">
        <v>150</v>
      </c>
    </row>
    <row r="62" spans="1:18">
      <c r="B62" s="11" t="s">
        <v>24</v>
      </c>
      <c r="C62" s="91"/>
      <c r="D62" s="91"/>
      <c r="E62" s="91"/>
      <c r="F62" s="91"/>
      <c r="H62" s="377">
        <f t="shared" si="21"/>
        <v>0</v>
      </c>
      <c r="I62" s="377">
        <f t="shared" si="22"/>
        <v>0</v>
      </c>
      <c r="J62" s="12">
        <f t="shared" si="23"/>
        <v>0</v>
      </c>
      <c r="K62" s="92">
        <f t="shared" si="24"/>
        <v>1</v>
      </c>
      <c r="L62" s="96">
        <f t="shared" si="25"/>
        <v>0</v>
      </c>
      <c r="N62" s="92">
        <f t="shared" si="26"/>
        <v>0</v>
      </c>
      <c r="O62" s="100"/>
      <c r="R62" s="124">
        <v>2</v>
      </c>
    </row>
    <row r="63" spans="1:18">
      <c r="B63" s="11" t="s">
        <v>25</v>
      </c>
      <c r="C63" s="91"/>
      <c r="D63" s="91"/>
      <c r="E63" s="91"/>
      <c r="F63" s="91"/>
      <c r="H63" s="377">
        <f t="shared" si="21"/>
        <v>0</v>
      </c>
      <c r="I63" s="377">
        <f t="shared" si="22"/>
        <v>0</v>
      </c>
      <c r="J63" s="12">
        <f t="shared" si="23"/>
        <v>0</v>
      </c>
      <c r="K63" s="92">
        <f t="shared" si="24"/>
        <v>1</v>
      </c>
      <c r="L63" s="96">
        <f t="shared" si="25"/>
        <v>0</v>
      </c>
      <c r="N63" s="92">
        <f t="shared" si="26"/>
        <v>0</v>
      </c>
      <c r="O63" s="100"/>
      <c r="R63" s="124">
        <v>3</v>
      </c>
    </row>
    <row r="64" spans="1:18">
      <c r="B64" s="11" t="s">
        <v>26</v>
      </c>
      <c r="C64" s="91"/>
      <c r="D64" s="91"/>
      <c r="E64" s="91"/>
      <c r="F64" s="91"/>
      <c r="H64" s="377">
        <f t="shared" si="21"/>
        <v>0</v>
      </c>
      <c r="I64" s="377">
        <f t="shared" si="22"/>
        <v>0</v>
      </c>
      <c r="J64" s="12">
        <f t="shared" si="23"/>
        <v>0</v>
      </c>
      <c r="K64" s="92">
        <f t="shared" si="24"/>
        <v>1</v>
      </c>
      <c r="L64" s="96">
        <f t="shared" si="25"/>
        <v>0</v>
      </c>
      <c r="N64" s="92">
        <f t="shared" si="26"/>
        <v>0</v>
      </c>
      <c r="O64" s="100"/>
      <c r="R64" s="124"/>
    </row>
    <row r="65" spans="1:18">
      <c r="B65" s="11" t="s">
        <v>27</v>
      </c>
      <c r="C65" s="91"/>
      <c r="D65" s="91"/>
      <c r="E65" s="91"/>
      <c r="F65" s="91"/>
      <c r="H65" s="377">
        <f t="shared" si="21"/>
        <v>0</v>
      </c>
      <c r="I65" s="377">
        <f t="shared" si="22"/>
        <v>0</v>
      </c>
      <c r="J65" s="12">
        <f t="shared" si="23"/>
        <v>0</v>
      </c>
      <c r="K65" s="92">
        <f t="shared" si="24"/>
        <v>1</v>
      </c>
      <c r="L65" s="96">
        <f t="shared" si="25"/>
        <v>0</v>
      </c>
      <c r="N65" s="92">
        <f t="shared" si="26"/>
        <v>0</v>
      </c>
      <c r="O65" s="100"/>
      <c r="R65" s="124"/>
    </row>
    <row r="66" spans="1:18">
      <c r="B66" s="11" t="s">
        <v>28</v>
      </c>
      <c r="C66" s="91"/>
      <c r="D66" s="91"/>
      <c r="E66" s="91"/>
      <c r="F66" s="91"/>
      <c r="H66" s="377">
        <f t="shared" si="21"/>
        <v>0</v>
      </c>
      <c r="I66" s="377">
        <f t="shared" si="22"/>
        <v>0</v>
      </c>
      <c r="J66" s="12">
        <f t="shared" si="23"/>
        <v>0</v>
      </c>
      <c r="K66" s="92">
        <f t="shared" si="24"/>
        <v>1</v>
      </c>
      <c r="L66" s="96">
        <f t="shared" si="25"/>
        <v>0</v>
      </c>
      <c r="N66" s="92">
        <f t="shared" si="26"/>
        <v>0</v>
      </c>
      <c r="O66" s="100"/>
      <c r="R66" s="124"/>
    </row>
    <row r="67" spans="1:18">
      <c r="C67" s="91"/>
      <c r="D67" s="91"/>
      <c r="E67" s="91"/>
      <c r="F67" s="91"/>
      <c r="H67" s="12"/>
      <c r="I67" s="12"/>
      <c r="O67" s="100"/>
      <c r="R67" s="124"/>
    </row>
    <row r="68" spans="1:18">
      <c r="A68" s="32">
        <v>3</v>
      </c>
      <c r="B68" s="32" t="s">
        <v>348</v>
      </c>
      <c r="C68" s="91"/>
      <c r="D68" s="91"/>
      <c r="E68" s="91"/>
      <c r="F68" s="91"/>
      <c r="H68" s="33" t="s">
        <v>5</v>
      </c>
      <c r="I68" s="33" t="s">
        <v>5</v>
      </c>
      <c r="O68" s="100"/>
      <c r="R68" s="124"/>
    </row>
    <row r="69" spans="1:18">
      <c r="B69" s="11" t="s">
        <v>30</v>
      </c>
      <c r="C69" s="91"/>
      <c r="D69" s="91"/>
      <c r="E69" s="91"/>
      <c r="F69" s="91"/>
      <c r="H69" s="36">
        <f t="shared" ref="H69:H77" si="27">IF(C69="&lt;",D69*0.7,D69*1)</f>
        <v>0</v>
      </c>
      <c r="I69" s="36">
        <f t="shared" ref="I69:I77" si="28">IF(E69="&lt;",F69*0.7,F69*1)</f>
        <v>0</v>
      </c>
      <c r="J69" s="12">
        <f t="shared" ref="J69:J77" si="29">IF(D69+F69&gt;0,1,0)</f>
        <v>0</v>
      </c>
      <c r="K69" s="92">
        <f t="shared" ref="K69:K77" si="30">IF(H69*I69&gt;0,2,1)</f>
        <v>1</v>
      </c>
      <c r="L69" s="96">
        <f t="shared" ref="L69:L77" si="31">(H69+I69)/K69</f>
        <v>0</v>
      </c>
      <c r="N69" s="92">
        <f t="shared" ref="N69:N77" si="32">IF(D69+F69&gt;0,1,0)</f>
        <v>0</v>
      </c>
      <c r="O69" s="100"/>
      <c r="R69" s="124">
        <v>0.05</v>
      </c>
    </row>
    <row r="70" spans="1:18">
      <c r="B70" s="11" t="s">
        <v>31</v>
      </c>
      <c r="C70" s="91"/>
      <c r="D70" s="91"/>
      <c r="E70" s="91"/>
      <c r="F70" s="91"/>
      <c r="H70" s="36">
        <f t="shared" si="27"/>
        <v>0</v>
      </c>
      <c r="I70" s="36">
        <f t="shared" si="28"/>
        <v>0</v>
      </c>
      <c r="J70" s="12">
        <f t="shared" si="29"/>
        <v>0</v>
      </c>
      <c r="K70" s="92">
        <f t="shared" si="30"/>
        <v>1</v>
      </c>
      <c r="L70" s="96">
        <f t="shared" si="31"/>
        <v>0</v>
      </c>
      <c r="N70" s="92">
        <f t="shared" si="32"/>
        <v>0</v>
      </c>
      <c r="O70" s="100"/>
      <c r="R70" s="124">
        <v>0.05</v>
      </c>
    </row>
    <row r="71" spans="1:18">
      <c r="B71" s="11" t="s">
        <v>32</v>
      </c>
      <c r="C71" s="91"/>
      <c r="D71" s="91"/>
      <c r="E71" s="91"/>
      <c r="F71" s="91"/>
      <c r="H71" s="36">
        <f t="shared" si="27"/>
        <v>0</v>
      </c>
      <c r="I71" s="36">
        <f t="shared" si="28"/>
        <v>0</v>
      </c>
      <c r="J71" s="12">
        <f t="shared" si="29"/>
        <v>0</v>
      </c>
      <c r="K71" s="92">
        <f t="shared" si="30"/>
        <v>1</v>
      </c>
      <c r="L71" s="96">
        <f t="shared" si="31"/>
        <v>0</v>
      </c>
      <c r="N71" s="92">
        <f t="shared" si="32"/>
        <v>0</v>
      </c>
      <c r="O71" s="100"/>
      <c r="R71" s="124">
        <v>0.05</v>
      </c>
    </row>
    <row r="72" spans="1:18">
      <c r="B72" s="292" t="s">
        <v>33</v>
      </c>
      <c r="C72" s="91"/>
      <c r="D72" s="91"/>
      <c r="E72" s="91"/>
      <c r="F72" s="91"/>
      <c r="H72" s="36">
        <f>IF(C72="&lt;",IF(D72=0.15,0.45*omrekenen!J3/10,D72*0.7),D72)</f>
        <v>0</v>
      </c>
      <c r="I72" s="36">
        <f>IF(E72="&lt;",IF(F72=0.15,0.45*omrekenen!K3/10,F72*0.7),F72)</f>
        <v>0</v>
      </c>
      <c r="J72" s="12">
        <f t="shared" si="29"/>
        <v>0</v>
      </c>
      <c r="K72" s="92">
        <f t="shared" si="30"/>
        <v>1</v>
      </c>
      <c r="L72" s="96">
        <f t="shared" si="31"/>
        <v>0</v>
      </c>
      <c r="N72" s="92">
        <f t="shared" si="32"/>
        <v>0</v>
      </c>
      <c r="O72" s="100"/>
      <c r="R72" s="124">
        <v>0.1</v>
      </c>
    </row>
    <row r="73" spans="1:18">
      <c r="B73" s="11" t="s">
        <v>34</v>
      </c>
      <c r="C73" s="91"/>
      <c r="D73" s="91"/>
      <c r="E73" s="91"/>
      <c r="F73" s="91"/>
      <c r="H73" s="36">
        <f t="shared" si="27"/>
        <v>0</v>
      </c>
      <c r="I73" s="36">
        <f t="shared" si="28"/>
        <v>0</v>
      </c>
      <c r="J73" s="12">
        <f t="shared" si="29"/>
        <v>0</v>
      </c>
      <c r="K73" s="92">
        <f t="shared" si="30"/>
        <v>1</v>
      </c>
      <c r="L73" s="96">
        <f t="shared" si="31"/>
        <v>0</v>
      </c>
      <c r="N73" s="92">
        <f t="shared" si="32"/>
        <v>0</v>
      </c>
      <c r="O73" s="100"/>
      <c r="R73" s="124">
        <v>0.05</v>
      </c>
    </row>
    <row r="74" spans="1:18">
      <c r="B74" s="11" t="s">
        <v>35</v>
      </c>
      <c r="C74" s="91"/>
      <c r="D74" s="91"/>
      <c r="E74" s="91"/>
      <c r="F74" s="91"/>
      <c r="H74" s="36">
        <f t="shared" si="27"/>
        <v>0</v>
      </c>
      <c r="I74" s="36">
        <f t="shared" si="28"/>
        <v>0</v>
      </c>
      <c r="J74" s="12">
        <f t="shared" si="29"/>
        <v>0</v>
      </c>
      <c r="K74" s="92">
        <f t="shared" si="30"/>
        <v>1</v>
      </c>
      <c r="L74" s="96">
        <f t="shared" si="31"/>
        <v>0</v>
      </c>
      <c r="N74" s="92">
        <f t="shared" si="32"/>
        <v>0</v>
      </c>
      <c r="O74" s="100"/>
      <c r="R74" s="124"/>
    </row>
    <row r="75" spans="1:18">
      <c r="B75" s="11" t="s">
        <v>36</v>
      </c>
      <c r="C75" s="91"/>
      <c r="D75" s="91"/>
      <c r="E75" s="91"/>
      <c r="F75" s="91"/>
      <c r="H75" s="36">
        <f t="shared" si="27"/>
        <v>0</v>
      </c>
      <c r="I75" s="36">
        <f t="shared" si="28"/>
        <v>0</v>
      </c>
      <c r="J75" s="12">
        <f t="shared" si="29"/>
        <v>0</v>
      </c>
      <c r="K75" s="92">
        <f t="shared" si="30"/>
        <v>1</v>
      </c>
      <c r="L75" s="96">
        <f t="shared" si="31"/>
        <v>0</v>
      </c>
      <c r="N75" s="92">
        <f t="shared" si="32"/>
        <v>0</v>
      </c>
      <c r="O75" s="100"/>
      <c r="R75" s="124"/>
    </row>
    <row r="76" spans="1:18">
      <c r="B76" s="11" t="s">
        <v>37</v>
      </c>
      <c r="C76" s="91"/>
      <c r="D76" s="91"/>
      <c r="E76" s="91"/>
      <c r="F76" s="91"/>
      <c r="H76" s="36">
        <f t="shared" si="27"/>
        <v>0</v>
      </c>
      <c r="I76" s="36">
        <f t="shared" si="28"/>
        <v>0</v>
      </c>
      <c r="J76" s="12">
        <f t="shared" si="29"/>
        <v>0</v>
      </c>
      <c r="K76" s="92">
        <f t="shared" si="30"/>
        <v>1</v>
      </c>
      <c r="L76" s="96">
        <f t="shared" si="31"/>
        <v>0</v>
      </c>
      <c r="N76" s="92">
        <f t="shared" si="32"/>
        <v>0</v>
      </c>
      <c r="O76" s="100"/>
      <c r="R76" s="124"/>
    </row>
    <row r="77" spans="1:18">
      <c r="B77" s="11" t="s">
        <v>38</v>
      </c>
      <c r="C77" s="91"/>
      <c r="D77" s="91"/>
      <c r="E77" s="91"/>
      <c r="F77" s="91"/>
      <c r="H77" s="36">
        <f t="shared" si="27"/>
        <v>0</v>
      </c>
      <c r="I77" s="36">
        <f t="shared" si="28"/>
        <v>0</v>
      </c>
      <c r="J77" s="12">
        <f t="shared" si="29"/>
        <v>0</v>
      </c>
      <c r="K77" s="92">
        <f t="shared" si="30"/>
        <v>1</v>
      </c>
      <c r="L77" s="96">
        <f t="shared" si="31"/>
        <v>0</v>
      </c>
      <c r="N77" s="92">
        <f t="shared" si="32"/>
        <v>0</v>
      </c>
      <c r="O77" s="100"/>
      <c r="R77" s="124"/>
    </row>
    <row r="78" spans="1:18">
      <c r="C78" s="91"/>
      <c r="D78" s="91"/>
      <c r="E78" s="91"/>
      <c r="F78" s="91"/>
      <c r="H78" s="12"/>
      <c r="I78" s="12"/>
      <c r="O78" s="100"/>
      <c r="R78" s="124"/>
    </row>
    <row r="79" spans="1:18">
      <c r="A79" s="32">
        <v>4</v>
      </c>
      <c r="B79" s="32" t="s">
        <v>349</v>
      </c>
      <c r="C79" s="91"/>
      <c r="D79" s="91"/>
      <c r="E79" s="91"/>
      <c r="F79" s="91"/>
      <c r="H79" s="33" t="s">
        <v>5</v>
      </c>
      <c r="I79" s="33" t="s">
        <v>5</v>
      </c>
      <c r="O79" s="100"/>
      <c r="R79" s="124"/>
    </row>
    <row r="80" spans="1:18">
      <c r="B80" s="11" t="s">
        <v>40</v>
      </c>
      <c r="C80" s="91"/>
      <c r="D80" s="91"/>
      <c r="E80" s="91"/>
      <c r="F80" s="91"/>
      <c r="H80" s="36">
        <f t="shared" ref="H80:H90" si="33">IF(C80="&lt;",D80*0.7,D80*1)</f>
        <v>0</v>
      </c>
      <c r="I80" s="36">
        <f t="shared" ref="I80:I90" si="34">IF(E80="&lt;",F80*0.7,F80*1)</f>
        <v>0</v>
      </c>
      <c r="J80" s="12">
        <f t="shared" ref="J80:J90" si="35">IF(D80+F80&gt;0,1,0)</f>
        <v>0</v>
      </c>
      <c r="K80" s="92">
        <f t="shared" ref="K80:K90" si="36">IF(H80*I80&gt;0,2,1)</f>
        <v>1</v>
      </c>
      <c r="L80" s="96">
        <f t="shared" ref="L80:L90" si="37">(H80+I80)/K80</f>
        <v>0</v>
      </c>
      <c r="O80" s="100">
        <v>2</v>
      </c>
      <c r="R80" s="124">
        <v>0.05</v>
      </c>
    </row>
    <row r="81" spans="1:23">
      <c r="B81" s="11" t="s">
        <v>41</v>
      </c>
      <c r="C81" s="91"/>
      <c r="D81" s="91"/>
      <c r="E81" s="91"/>
      <c r="F81" s="91"/>
      <c r="H81" s="36">
        <f t="shared" si="33"/>
        <v>0</v>
      </c>
      <c r="I81" s="36">
        <f t="shared" si="34"/>
        <v>0</v>
      </c>
      <c r="J81" s="12">
        <f t="shared" si="35"/>
        <v>0</v>
      </c>
      <c r="K81" s="92">
        <f t="shared" si="36"/>
        <v>1</v>
      </c>
      <c r="L81" s="96">
        <f t="shared" si="37"/>
        <v>0</v>
      </c>
      <c r="O81" s="100">
        <v>2</v>
      </c>
      <c r="R81" s="124">
        <v>0.05</v>
      </c>
    </row>
    <row r="82" spans="1:23">
      <c r="B82" s="11" t="s">
        <v>42</v>
      </c>
      <c r="C82" s="91"/>
      <c r="D82" s="91"/>
      <c r="E82" s="91"/>
      <c r="F82" s="91"/>
      <c r="H82" s="36">
        <f t="shared" si="33"/>
        <v>0</v>
      </c>
      <c r="I82" s="36">
        <f t="shared" si="34"/>
        <v>0</v>
      </c>
      <c r="J82" s="12">
        <f t="shared" si="35"/>
        <v>0</v>
      </c>
      <c r="K82" s="92">
        <f t="shared" si="36"/>
        <v>1</v>
      </c>
      <c r="L82" s="96">
        <f t="shared" si="37"/>
        <v>0</v>
      </c>
      <c r="O82" s="100">
        <v>2</v>
      </c>
      <c r="R82" s="124">
        <v>0.05</v>
      </c>
    </row>
    <row r="83" spans="1:23">
      <c r="B83" s="11" t="s">
        <v>43</v>
      </c>
      <c r="C83" s="91"/>
      <c r="D83" s="91"/>
      <c r="E83" s="91"/>
      <c r="F83" s="91"/>
      <c r="H83" s="36">
        <f t="shared" si="33"/>
        <v>0</v>
      </c>
      <c r="I83" s="36">
        <f t="shared" si="34"/>
        <v>0</v>
      </c>
      <c r="J83" s="12">
        <f t="shared" si="35"/>
        <v>0</v>
      </c>
      <c r="K83" s="92">
        <f t="shared" si="36"/>
        <v>1</v>
      </c>
      <c r="L83" s="96">
        <f t="shared" si="37"/>
        <v>0</v>
      </c>
      <c r="O83" s="100">
        <v>2</v>
      </c>
      <c r="R83" s="124">
        <v>0.05</v>
      </c>
    </row>
    <row r="84" spans="1:23">
      <c r="B84" s="11" t="s">
        <v>44</v>
      </c>
      <c r="C84" s="91"/>
      <c r="D84" s="91"/>
      <c r="E84" s="91"/>
      <c r="F84" s="91"/>
      <c r="H84" s="36">
        <f t="shared" si="33"/>
        <v>0</v>
      </c>
      <c r="I84" s="36">
        <f t="shared" si="34"/>
        <v>0</v>
      </c>
      <c r="J84" s="12">
        <f t="shared" si="35"/>
        <v>0</v>
      </c>
      <c r="K84" s="92">
        <f t="shared" si="36"/>
        <v>1</v>
      </c>
      <c r="L84" s="96">
        <f t="shared" si="37"/>
        <v>0</v>
      </c>
      <c r="O84" s="100">
        <v>2</v>
      </c>
      <c r="R84" s="124">
        <v>0.05</v>
      </c>
    </row>
    <row r="85" spans="1:23">
      <c r="B85" s="11" t="s">
        <v>45</v>
      </c>
      <c r="C85" s="91"/>
      <c r="D85" s="91"/>
      <c r="E85" s="91"/>
      <c r="F85" s="91"/>
      <c r="H85" s="36">
        <f t="shared" si="33"/>
        <v>0</v>
      </c>
      <c r="I85" s="36">
        <f t="shared" si="34"/>
        <v>0</v>
      </c>
      <c r="J85" s="12">
        <f t="shared" si="35"/>
        <v>0</v>
      </c>
      <c r="K85" s="92">
        <f t="shared" si="36"/>
        <v>1</v>
      </c>
      <c r="L85" s="96">
        <f t="shared" si="37"/>
        <v>0</v>
      </c>
      <c r="O85" s="100">
        <v>2</v>
      </c>
      <c r="R85" s="124">
        <v>0.05</v>
      </c>
    </row>
    <row r="86" spans="1:23">
      <c r="B86" s="11" t="s">
        <v>46</v>
      </c>
      <c r="C86" s="91"/>
      <c r="D86" s="91"/>
      <c r="E86" s="91"/>
      <c r="F86" s="91"/>
      <c r="H86" s="36">
        <f t="shared" si="33"/>
        <v>0</v>
      </c>
      <c r="I86" s="36">
        <f t="shared" si="34"/>
        <v>0</v>
      </c>
      <c r="J86" s="12">
        <f t="shared" si="35"/>
        <v>0</v>
      </c>
      <c r="K86" s="92">
        <f t="shared" si="36"/>
        <v>1</v>
      </c>
      <c r="L86" s="96">
        <f t="shared" si="37"/>
        <v>0</v>
      </c>
      <c r="O86" s="100">
        <v>2</v>
      </c>
      <c r="R86" s="124">
        <v>0.05</v>
      </c>
    </row>
    <row r="87" spans="1:23">
      <c r="B87" s="11" t="s">
        <v>47</v>
      </c>
      <c r="C87" s="91"/>
      <c r="D87" s="91"/>
      <c r="E87" s="91"/>
      <c r="F87" s="91"/>
      <c r="H87" s="36">
        <f t="shared" si="33"/>
        <v>0</v>
      </c>
      <c r="I87" s="36">
        <f t="shared" si="34"/>
        <v>0</v>
      </c>
      <c r="J87" s="12">
        <f t="shared" si="35"/>
        <v>0</v>
      </c>
      <c r="K87" s="92">
        <f t="shared" si="36"/>
        <v>1</v>
      </c>
      <c r="L87" s="96">
        <f t="shared" si="37"/>
        <v>0</v>
      </c>
      <c r="O87" s="100">
        <v>2</v>
      </c>
      <c r="R87" s="124">
        <v>0.05</v>
      </c>
    </row>
    <row r="88" spans="1:23">
      <c r="B88" s="11" t="s">
        <v>48</v>
      </c>
      <c r="C88" s="91"/>
      <c r="D88" s="91"/>
      <c r="E88" s="91"/>
      <c r="F88" s="91"/>
      <c r="H88" s="36">
        <f t="shared" si="33"/>
        <v>0</v>
      </c>
      <c r="I88" s="36">
        <f t="shared" si="34"/>
        <v>0</v>
      </c>
      <c r="J88" s="12">
        <f t="shared" si="35"/>
        <v>0</v>
      </c>
      <c r="K88" s="92">
        <f t="shared" si="36"/>
        <v>1</v>
      </c>
      <c r="L88" s="96">
        <f t="shared" si="37"/>
        <v>0</v>
      </c>
      <c r="O88" s="100">
        <v>2</v>
      </c>
      <c r="R88" s="124">
        <v>0.05</v>
      </c>
    </row>
    <row r="89" spans="1:23">
      <c r="B89" s="11" t="s">
        <v>49</v>
      </c>
      <c r="C89" s="91"/>
      <c r="D89" s="91"/>
      <c r="E89" s="91"/>
      <c r="F89" s="91"/>
      <c r="H89" s="36">
        <f t="shared" si="33"/>
        <v>0</v>
      </c>
      <c r="I89" s="36">
        <f t="shared" si="34"/>
        <v>0</v>
      </c>
      <c r="J89" s="12">
        <f t="shared" si="35"/>
        <v>0</v>
      </c>
      <c r="K89" s="92">
        <f t="shared" si="36"/>
        <v>1</v>
      </c>
      <c r="L89" s="96">
        <f t="shared" si="37"/>
        <v>0</v>
      </c>
      <c r="O89" s="100">
        <v>2</v>
      </c>
      <c r="R89" s="124">
        <v>0.05</v>
      </c>
    </row>
    <row r="90" spans="1:23">
      <c r="B90" s="11" t="s">
        <v>50</v>
      </c>
      <c r="C90" s="91"/>
      <c r="D90" s="91"/>
      <c r="E90" s="91"/>
      <c r="F90" s="91"/>
      <c r="H90" s="36">
        <f t="shared" si="33"/>
        <v>0</v>
      </c>
      <c r="I90" s="36">
        <f t="shared" si="34"/>
        <v>0</v>
      </c>
      <c r="J90" s="12">
        <f t="shared" si="35"/>
        <v>0</v>
      </c>
      <c r="K90" s="92">
        <f t="shared" si="36"/>
        <v>1</v>
      </c>
      <c r="L90" s="96">
        <f t="shared" si="37"/>
        <v>0</v>
      </c>
      <c r="N90" s="92">
        <f t="shared" ref="N90" si="38">IF(D90+F90&gt;0,1,0)</f>
        <v>0</v>
      </c>
      <c r="O90" s="104">
        <v>1</v>
      </c>
      <c r="P90" s="103"/>
      <c r="R90" s="124"/>
    </row>
    <row r="91" spans="1:23">
      <c r="C91" s="91"/>
      <c r="D91" s="91"/>
      <c r="E91" s="91"/>
      <c r="F91" s="91"/>
      <c r="H91" s="12"/>
      <c r="I91" s="12"/>
      <c r="O91" s="100"/>
      <c r="R91" s="124"/>
    </row>
    <row r="92" spans="1:23">
      <c r="A92" s="32">
        <v>5</v>
      </c>
      <c r="B92" s="32" t="s">
        <v>64</v>
      </c>
      <c r="C92" s="91"/>
      <c r="D92" s="91"/>
      <c r="E92" s="91"/>
      <c r="F92" s="91"/>
      <c r="H92" s="33" t="s">
        <v>5</v>
      </c>
      <c r="I92" s="33" t="s">
        <v>5</v>
      </c>
      <c r="O92" s="100"/>
      <c r="R92" s="124" t="s">
        <v>278</v>
      </c>
    </row>
    <row r="93" spans="1:23">
      <c r="A93" s="37" t="s">
        <v>65</v>
      </c>
      <c r="B93" s="38" t="s">
        <v>350</v>
      </c>
      <c r="C93" s="91"/>
      <c r="D93" s="91"/>
      <c r="E93" s="91"/>
      <c r="F93" s="91"/>
      <c r="O93" s="100"/>
      <c r="R93" s="125" t="s">
        <v>5</v>
      </c>
      <c r="U93" s="514" t="s">
        <v>655</v>
      </c>
      <c r="V93" s="516" t="s">
        <v>656</v>
      </c>
      <c r="W93" s="516"/>
    </row>
    <row r="94" spans="1:23">
      <c r="B94" s="29" t="s">
        <v>51</v>
      </c>
      <c r="C94" s="421"/>
      <c r="D94" s="91"/>
      <c r="E94" s="421"/>
      <c r="F94" s="91"/>
      <c r="H94" s="36">
        <f ca="1">S94*1</f>
        <v>0</v>
      </c>
      <c r="I94" s="36">
        <f ca="1">T94*1</f>
        <v>0</v>
      </c>
      <c r="J94" s="12">
        <f t="shared" ref="J94:J106" si="39">IF(D94+F94&gt;0,1,0)</f>
        <v>0</v>
      </c>
      <c r="K94" s="92">
        <f t="shared" ref="K94:K106" ca="1" si="40">IF(H94*I94&gt;0,2,1)</f>
        <v>1</v>
      </c>
      <c r="L94" s="96">
        <f t="shared" ref="L94:L106" ca="1" si="41">(H94+I94)/K94</f>
        <v>0</v>
      </c>
      <c r="N94" s="92">
        <f t="shared" ref="N94:N106" si="42">IF(D94+F94&gt;0,1,0)</f>
        <v>0</v>
      </c>
      <c r="O94" s="100"/>
      <c r="R94" s="124">
        <v>0.05</v>
      </c>
      <c r="S94" s="379">
        <f ca="1">IF(C94="&lt;",IF(V94&gt;$U94,$U94,V94),V94)</f>
        <v>0</v>
      </c>
      <c r="T94" s="379">
        <f ca="1">IF(E94="&lt;",IF(W94&gt;$U94,$U94,W94),W94)</f>
        <v>0</v>
      </c>
      <c r="U94" s="12">
        <v>0.1</v>
      </c>
      <c r="V94" s="16">
        <f ca="1">IF(C94="&lt;",0.7*D94*10/$S$14,D94*10/$S$14)</f>
        <v>0</v>
      </c>
      <c r="W94" s="16">
        <f ca="1">IF(E94="&lt;",0.7*F94*10/$S$14,F94*10/$S$14)</f>
        <v>0</v>
      </c>
    </row>
    <row r="95" spans="1:23">
      <c r="B95" s="29" t="s">
        <v>52</v>
      </c>
      <c r="C95" s="91"/>
      <c r="D95" s="91"/>
      <c r="E95" s="91"/>
      <c r="F95" s="91"/>
      <c r="H95" s="36">
        <f t="shared" ref="H95:H106" ca="1" si="43">S95*1</f>
        <v>0</v>
      </c>
      <c r="I95" s="36">
        <f t="shared" ref="I95:I106" ca="1" si="44">T95*1</f>
        <v>0</v>
      </c>
      <c r="J95" s="12">
        <f t="shared" si="39"/>
        <v>0</v>
      </c>
      <c r="K95" s="92">
        <f t="shared" ca="1" si="40"/>
        <v>1</v>
      </c>
      <c r="L95" s="96">
        <f t="shared" ca="1" si="41"/>
        <v>0</v>
      </c>
      <c r="N95" s="92">
        <f t="shared" si="42"/>
        <v>0</v>
      </c>
      <c r="O95" s="100"/>
      <c r="R95" s="124">
        <v>0.05</v>
      </c>
      <c r="S95" s="517">
        <f t="shared" ref="S95:S106" ca="1" si="45">IF(C95="&lt;",IF(V95&gt;$U95,$U95,V95),V95)</f>
        <v>0</v>
      </c>
      <c r="T95" s="517">
        <f t="shared" ref="T95:T106" ca="1" si="46">IF(E95="&lt;",IF(W95&gt;$U95,$U95,W95),W95)</f>
        <v>0</v>
      </c>
      <c r="U95" s="12">
        <v>0.1</v>
      </c>
      <c r="V95" s="16">
        <f t="shared" ref="V95:V106" ca="1" si="47">IF(C95="&lt;",0.7*D95*10/$S$14,D95*10/$S$14)</f>
        <v>0</v>
      </c>
      <c r="W95" s="16">
        <f t="shared" ref="W95:W106" ca="1" si="48">IF(E95="&lt;",0.7*F95*10/$S$14,F95*10/$S$14)</f>
        <v>0</v>
      </c>
    </row>
    <row r="96" spans="1:23">
      <c r="B96" s="29" t="s">
        <v>54</v>
      </c>
      <c r="C96" s="91"/>
      <c r="D96" s="91"/>
      <c r="E96" s="91"/>
      <c r="F96" s="91"/>
      <c r="H96" s="36">
        <f t="shared" ca="1" si="43"/>
        <v>0</v>
      </c>
      <c r="I96" s="36">
        <f t="shared" ca="1" si="44"/>
        <v>0</v>
      </c>
      <c r="J96" s="12">
        <f t="shared" si="39"/>
        <v>0</v>
      </c>
      <c r="K96" s="92">
        <f t="shared" ca="1" si="40"/>
        <v>1</v>
      </c>
      <c r="L96" s="96">
        <f t="shared" ca="1" si="41"/>
        <v>0</v>
      </c>
      <c r="N96" s="92">
        <f t="shared" si="42"/>
        <v>0</v>
      </c>
      <c r="O96" s="100"/>
      <c r="R96" s="124">
        <v>0.1</v>
      </c>
      <c r="S96" s="517">
        <f t="shared" ca="1" si="45"/>
        <v>0</v>
      </c>
      <c r="T96" s="517">
        <f t="shared" ca="1" si="46"/>
        <v>0</v>
      </c>
      <c r="U96" s="515">
        <v>0.2</v>
      </c>
      <c r="V96" s="16">
        <f t="shared" ca="1" si="47"/>
        <v>0</v>
      </c>
      <c r="W96" s="16">
        <f t="shared" ca="1" si="48"/>
        <v>0</v>
      </c>
    </row>
    <row r="97" spans="1:23">
      <c r="B97" s="29" t="s">
        <v>55</v>
      </c>
      <c r="C97" s="91"/>
      <c r="D97" s="91"/>
      <c r="E97" s="91"/>
      <c r="F97" s="91"/>
      <c r="H97" s="36">
        <f t="shared" ca="1" si="43"/>
        <v>0</v>
      </c>
      <c r="I97" s="36">
        <f t="shared" ca="1" si="44"/>
        <v>0</v>
      </c>
      <c r="J97" s="12">
        <f t="shared" si="39"/>
        <v>0</v>
      </c>
      <c r="K97" s="92">
        <f t="shared" ca="1" si="40"/>
        <v>1</v>
      </c>
      <c r="L97" s="96">
        <f t="shared" ca="1" si="41"/>
        <v>0</v>
      </c>
      <c r="N97" s="92">
        <f t="shared" si="42"/>
        <v>0</v>
      </c>
      <c r="O97" s="100"/>
      <c r="R97" s="124">
        <v>0.1</v>
      </c>
      <c r="S97" s="517">
        <f t="shared" ca="1" si="45"/>
        <v>0</v>
      </c>
      <c r="T97" s="517">
        <f t="shared" ca="1" si="46"/>
        <v>0</v>
      </c>
      <c r="U97" s="515">
        <v>0.2</v>
      </c>
      <c r="V97" s="16">
        <f t="shared" ca="1" si="47"/>
        <v>0</v>
      </c>
      <c r="W97" s="16">
        <f t="shared" ca="1" si="48"/>
        <v>0</v>
      </c>
    </row>
    <row r="98" spans="1:23">
      <c r="B98" s="29" t="s">
        <v>53</v>
      </c>
      <c r="C98" s="91"/>
      <c r="D98" s="91"/>
      <c r="E98" s="91"/>
      <c r="F98" s="91"/>
      <c r="H98" s="36">
        <f t="shared" ca="1" si="43"/>
        <v>0</v>
      </c>
      <c r="I98" s="36">
        <f t="shared" ca="1" si="44"/>
        <v>0</v>
      </c>
      <c r="J98" s="12">
        <f t="shared" si="39"/>
        <v>0</v>
      </c>
      <c r="K98" s="92">
        <f t="shared" ca="1" si="40"/>
        <v>1</v>
      </c>
      <c r="L98" s="96">
        <f t="shared" ca="1" si="41"/>
        <v>0</v>
      </c>
      <c r="N98" s="92">
        <f t="shared" si="42"/>
        <v>0</v>
      </c>
      <c r="O98" s="100"/>
      <c r="R98" s="124">
        <v>0.05</v>
      </c>
      <c r="S98" s="517">
        <f t="shared" ca="1" si="45"/>
        <v>0</v>
      </c>
      <c r="T98" s="517">
        <f t="shared" ca="1" si="46"/>
        <v>0</v>
      </c>
      <c r="U98" s="12">
        <v>0.3</v>
      </c>
      <c r="V98" s="16">
        <f t="shared" ca="1" si="47"/>
        <v>0</v>
      </c>
      <c r="W98" s="16">
        <f t="shared" ca="1" si="48"/>
        <v>0</v>
      </c>
    </row>
    <row r="99" spans="1:23">
      <c r="B99" s="29" t="s">
        <v>56</v>
      </c>
      <c r="C99" s="91"/>
      <c r="D99" s="91"/>
      <c r="E99" s="91"/>
      <c r="F99" s="91"/>
      <c r="H99" s="36">
        <f t="shared" ca="1" si="43"/>
        <v>0</v>
      </c>
      <c r="I99" s="36">
        <f t="shared" ca="1" si="44"/>
        <v>0</v>
      </c>
      <c r="J99" s="12">
        <f t="shared" si="39"/>
        <v>0</v>
      </c>
      <c r="K99" s="92">
        <f t="shared" ca="1" si="40"/>
        <v>1</v>
      </c>
      <c r="L99" s="96">
        <f t="shared" ca="1" si="41"/>
        <v>0</v>
      </c>
      <c r="N99" s="92">
        <f t="shared" si="42"/>
        <v>0</v>
      </c>
      <c r="O99" s="100"/>
      <c r="R99" s="124">
        <v>0.05</v>
      </c>
      <c r="S99" s="517">
        <f t="shared" ca="1" si="45"/>
        <v>0</v>
      </c>
      <c r="T99" s="517">
        <f t="shared" ca="1" si="46"/>
        <v>0</v>
      </c>
      <c r="U99" s="12">
        <v>0.3</v>
      </c>
      <c r="V99" s="16">
        <f t="shared" ca="1" si="47"/>
        <v>0</v>
      </c>
      <c r="W99" s="16">
        <f t="shared" ca="1" si="48"/>
        <v>0</v>
      </c>
    </row>
    <row r="100" spans="1:23">
      <c r="B100" s="29" t="s">
        <v>57</v>
      </c>
      <c r="C100" s="91"/>
      <c r="D100" s="91"/>
      <c r="E100" s="91"/>
      <c r="F100" s="91"/>
      <c r="H100" s="36">
        <f t="shared" ca="1" si="43"/>
        <v>0</v>
      </c>
      <c r="I100" s="36">
        <f t="shared" ca="1" si="44"/>
        <v>0</v>
      </c>
      <c r="J100" s="12">
        <f t="shared" si="39"/>
        <v>0</v>
      </c>
      <c r="K100" s="92">
        <f t="shared" ca="1" si="40"/>
        <v>1</v>
      </c>
      <c r="L100" s="96">
        <f t="shared" ca="1" si="41"/>
        <v>0</v>
      </c>
      <c r="N100" s="92">
        <f t="shared" si="42"/>
        <v>0</v>
      </c>
      <c r="O100" s="100"/>
      <c r="R100" s="124">
        <v>0.05</v>
      </c>
      <c r="S100" s="517">
        <f t="shared" ca="1" si="45"/>
        <v>0</v>
      </c>
      <c r="T100" s="517">
        <f t="shared" ca="1" si="46"/>
        <v>0</v>
      </c>
      <c r="U100" s="12">
        <v>0.8</v>
      </c>
      <c r="V100" s="16">
        <f t="shared" ca="1" si="47"/>
        <v>0</v>
      </c>
      <c r="W100" s="16">
        <f t="shared" ca="1" si="48"/>
        <v>0</v>
      </c>
    </row>
    <row r="101" spans="1:23">
      <c r="B101" s="29" t="s">
        <v>58</v>
      </c>
      <c r="C101" s="91"/>
      <c r="D101" s="91"/>
      <c r="E101" s="91"/>
      <c r="F101" s="91"/>
      <c r="H101" s="36">
        <f t="shared" ca="1" si="43"/>
        <v>0</v>
      </c>
      <c r="I101" s="36">
        <f t="shared" ca="1" si="44"/>
        <v>0</v>
      </c>
      <c r="J101" s="12">
        <f t="shared" si="39"/>
        <v>0</v>
      </c>
      <c r="K101" s="92">
        <f t="shared" ca="1" si="40"/>
        <v>1</v>
      </c>
      <c r="L101" s="96">
        <f t="shared" ca="1" si="41"/>
        <v>0</v>
      </c>
      <c r="N101" s="92">
        <f t="shared" si="42"/>
        <v>0</v>
      </c>
      <c r="O101" s="100"/>
      <c r="R101" s="124">
        <v>0.05</v>
      </c>
      <c r="S101" s="517">
        <f t="shared" ca="1" si="45"/>
        <v>0</v>
      </c>
      <c r="T101" s="517">
        <f t="shared" ca="1" si="46"/>
        <v>0</v>
      </c>
      <c r="U101" s="12">
        <v>0.25</v>
      </c>
      <c r="V101" s="16">
        <f t="shared" ca="1" si="47"/>
        <v>0</v>
      </c>
      <c r="W101" s="16">
        <f t="shared" ca="1" si="48"/>
        <v>0</v>
      </c>
    </row>
    <row r="102" spans="1:23">
      <c r="B102" s="29" t="s">
        <v>59</v>
      </c>
      <c r="C102" s="91"/>
      <c r="D102" s="91"/>
      <c r="E102" s="91"/>
      <c r="F102" s="91"/>
      <c r="H102" s="36">
        <f t="shared" ca="1" si="43"/>
        <v>0</v>
      </c>
      <c r="I102" s="36">
        <f t="shared" ca="1" si="44"/>
        <v>0</v>
      </c>
      <c r="J102" s="12">
        <f t="shared" si="39"/>
        <v>0</v>
      </c>
      <c r="K102" s="92">
        <f t="shared" ca="1" si="40"/>
        <v>1</v>
      </c>
      <c r="L102" s="96">
        <f t="shared" ca="1" si="41"/>
        <v>0</v>
      </c>
      <c r="N102" s="92">
        <f t="shared" si="42"/>
        <v>0</v>
      </c>
      <c r="O102" s="100"/>
      <c r="R102" s="124">
        <v>0.05</v>
      </c>
      <c r="S102" s="517">
        <f t="shared" ca="1" si="45"/>
        <v>0</v>
      </c>
      <c r="T102" s="517">
        <f t="shared" ca="1" si="46"/>
        <v>0</v>
      </c>
      <c r="U102" s="12">
        <v>0.25</v>
      </c>
      <c r="V102" s="16">
        <f t="shared" ca="1" si="47"/>
        <v>0</v>
      </c>
      <c r="W102" s="16">
        <f t="shared" ca="1" si="48"/>
        <v>0</v>
      </c>
    </row>
    <row r="103" spans="1:23">
      <c r="B103" s="29" t="s">
        <v>60</v>
      </c>
      <c r="C103" s="91"/>
      <c r="D103" s="91"/>
      <c r="E103" s="91"/>
      <c r="F103" s="91"/>
      <c r="H103" s="36">
        <f t="shared" ca="1" si="43"/>
        <v>0</v>
      </c>
      <c r="I103" s="36">
        <f t="shared" ca="1" si="44"/>
        <v>0</v>
      </c>
      <c r="J103" s="12">
        <f t="shared" si="39"/>
        <v>0</v>
      </c>
      <c r="K103" s="92">
        <f t="shared" ca="1" si="40"/>
        <v>1</v>
      </c>
      <c r="L103" s="96">
        <f t="shared" ca="1" si="41"/>
        <v>0</v>
      </c>
      <c r="N103" s="92">
        <f t="shared" si="42"/>
        <v>0</v>
      </c>
      <c r="O103" s="100"/>
      <c r="R103" s="124">
        <v>0.05</v>
      </c>
      <c r="S103" s="517">
        <f t="shared" ca="1" si="45"/>
        <v>0</v>
      </c>
      <c r="T103" s="517">
        <f t="shared" ca="1" si="46"/>
        <v>0</v>
      </c>
      <c r="U103" s="12">
        <v>0.3</v>
      </c>
      <c r="V103" s="16">
        <f t="shared" ca="1" si="47"/>
        <v>0</v>
      </c>
      <c r="W103" s="16">
        <f t="shared" ca="1" si="48"/>
        <v>0</v>
      </c>
    </row>
    <row r="104" spans="1:23">
      <c r="B104" s="29" t="s">
        <v>61</v>
      </c>
      <c r="C104" s="91"/>
      <c r="D104" s="91"/>
      <c r="E104" s="91"/>
      <c r="F104" s="91"/>
      <c r="H104" s="36">
        <f t="shared" ca="1" si="43"/>
        <v>0</v>
      </c>
      <c r="I104" s="36">
        <f t="shared" ca="1" si="44"/>
        <v>0</v>
      </c>
      <c r="J104" s="12">
        <f t="shared" si="39"/>
        <v>0</v>
      </c>
      <c r="K104" s="92">
        <f t="shared" ca="1" si="40"/>
        <v>1</v>
      </c>
      <c r="L104" s="96">
        <f t="shared" ca="1" si="41"/>
        <v>0</v>
      </c>
      <c r="N104" s="92">
        <f t="shared" si="42"/>
        <v>0</v>
      </c>
      <c r="O104" s="100"/>
      <c r="R104" s="124">
        <v>0.05</v>
      </c>
      <c r="S104" s="517">
        <f t="shared" ca="1" si="45"/>
        <v>0</v>
      </c>
      <c r="T104" s="517">
        <f t="shared" ca="1" si="46"/>
        <v>0</v>
      </c>
      <c r="U104" s="12">
        <v>0.25</v>
      </c>
      <c r="V104" s="16">
        <f t="shared" ca="1" si="47"/>
        <v>0</v>
      </c>
      <c r="W104" s="16">
        <f t="shared" ca="1" si="48"/>
        <v>0</v>
      </c>
    </row>
    <row r="105" spans="1:23">
      <c r="B105" s="29" t="s">
        <v>62</v>
      </c>
      <c r="C105" s="91"/>
      <c r="D105" s="91"/>
      <c r="E105" s="91"/>
      <c r="F105" s="91"/>
      <c r="H105" s="36">
        <f t="shared" ca="1" si="43"/>
        <v>0</v>
      </c>
      <c r="I105" s="36">
        <f t="shared" ca="1" si="44"/>
        <v>0</v>
      </c>
      <c r="J105" s="12">
        <f t="shared" si="39"/>
        <v>0</v>
      </c>
      <c r="K105" s="92">
        <f t="shared" ca="1" si="40"/>
        <v>1</v>
      </c>
      <c r="L105" s="96">
        <f t="shared" ca="1" si="41"/>
        <v>0</v>
      </c>
      <c r="N105" s="92">
        <f t="shared" si="42"/>
        <v>0</v>
      </c>
      <c r="O105" s="100"/>
      <c r="R105" s="124">
        <v>0.05</v>
      </c>
      <c r="S105" s="517">
        <f t="shared" ca="1" si="45"/>
        <v>0</v>
      </c>
      <c r="T105" s="517">
        <f t="shared" ca="1" si="46"/>
        <v>0</v>
      </c>
      <c r="U105" s="12">
        <v>0.3</v>
      </c>
      <c r="V105" s="16">
        <f t="shared" ca="1" si="47"/>
        <v>0</v>
      </c>
      <c r="W105" s="16">
        <f t="shared" ca="1" si="48"/>
        <v>0</v>
      </c>
    </row>
    <row r="106" spans="1:23">
      <c r="B106" s="29" t="s">
        <v>63</v>
      </c>
      <c r="C106" s="91"/>
      <c r="D106" s="91"/>
      <c r="E106" s="91"/>
      <c r="F106" s="91"/>
      <c r="H106" s="36">
        <f t="shared" ca="1" si="43"/>
        <v>0</v>
      </c>
      <c r="I106" s="36">
        <f t="shared" ca="1" si="44"/>
        <v>0</v>
      </c>
      <c r="J106" s="12">
        <f t="shared" si="39"/>
        <v>0</v>
      </c>
      <c r="K106" s="92">
        <f t="shared" ca="1" si="40"/>
        <v>1</v>
      </c>
      <c r="L106" s="96">
        <f t="shared" ca="1" si="41"/>
        <v>0</v>
      </c>
      <c r="N106" s="92">
        <f t="shared" si="42"/>
        <v>0</v>
      </c>
      <c r="O106" s="100"/>
      <c r="R106" s="124">
        <v>0.01</v>
      </c>
      <c r="S106" s="517">
        <f t="shared" ca="1" si="45"/>
        <v>0</v>
      </c>
      <c r="T106" s="517">
        <f t="shared" ca="1" si="46"/>
        <v>0</v>
      </c>
      <c r="U106" s="12">
        <v>0.15</v>
      </c>
      <c r="V106" s="16">
        <f t="shared" ca="1" si="47"/>
        <v>0</v>
      </c>
      <c r="W106" s="16">
        <f t="shared" ca="1" si="48"/>
        <v>0</v>
      </c>
    </row>
    <row r="107" spans="1:23">
      <c r="C107" s="91"/>
      <c r="D107" s="91"/>
      <c r="E107" s="91"/>
      <c r="F107" s="91"/>
      <c r="H107" s="12"/>
      <c r="I107" s="12"/>
      <c r="O107" s="100"/>
      <c r="R107" s="124"/>
    </row>
    <row r="108" spans="1:23">
      <c r="A108" s="10" t="s">
        <v>67</v>
      </c>
      <c r="B108" s="35" t="s">
        <v>78</v>
      </c>
      <c r="C108" s="91"/>
      <c r="D108" s="91"/>
      <c r="E108" s="91"/>
      <c r="F108" s="91"/>
      <c r="G108" s="43"/>
      <c r="H108" s="30"/>
      <c r="I108" s="30"/>
      <c r="O108" s="100"/>
      <c r="R108" s="124"/>
    </row>
    <row r="109" spans="1:23">
      <c r="B109" s="39" t="s">
        <v>209</v>
      </c>
      <c r="C109" s="91"/>
      <c r="D109" s="91"/>
      <c r="E109" s="91"/>
      <c r="F109" s="91"/>
      <c r="H109" s="36">
        <f>IF(C109="&lt;",D109*0.7,D109*1)</f>
        <v>0</v>
      </c>
      <c r="I109" s="36">
        <f>IF(E109="&lt;",F109*0.7,F109*1)</f>
        <v>0</v>
      </c>
      <c r="J109" s="12">
        <f t="shared" ref="J109:J115" si="49">IF(D109+F109&gt;0,1,0)</f>
        <v>0</v>
      </c>
      <c r="K109" s="92">
        <f t="shared" ref="K109:K115" si="50">IF(H109*I109&gt;0,2,1)</f>
        <v>1</v>
      </c>
      <c r="L109" s="96">
        <f t="shared" ref="L109:L115" si="51">(H109+I109)/K109</f>
        <v>0</v>
      </c>
      <c r="N109" s="92">
        <f t="shared" ref="N109:N115" si="52">IF(D109+F109&gt;0,1,0)</f>
        <v>0</v>
      </c>
      <c r="O109" s="100"/>
      <c r="R109" s="124">
        <v>0.04</v>
      </c>
    </row>
    <row r="110" spans="1:23">
      <c r="B110" s="39" t="s">
        <v>210</v>
      </c>
      <c r="C110" s="91"/>
      <c r="D110" s="91"/>
      <c r="E110" s="91"/>
      <c r="F110" s="91"/>
      <c r="H110" s="36">
        <f t="shared" ref="H110:H112" si="53">IF(C110="&lt;",D110*0.7,D110*1)</f>
        <v>0</v>
      </c>
      <c r="I110" s="36">
        <f t="shared" ref="I110:I112" si="54">IF(E110="&lt;",F110*0.7,F110*1)</f>
        <v>0</v>
      </c>
      <c r="J110" s="12">
        <f t="shared" si="49"/>
        <v>0</v>
      </c>
      <c r="K110" s="92">
        <f t="shared" si="50"/>
        <v>1</v>
      </c>
      <c r="L110" s="96">
        <f t="shared" si="51"/>
        <v>0</v>
      </c>
      <c r="N110" s="92">
        <f t="shared" si="52"/>
        <v>0</v>
      </c>
      <c r="O110" s="100"/>
      <c r="R110" s="124">
        <v>0.3</v>
      </c>
    </row>
    <row r="111" spans="1:23">
      <c r="B111" s="11" t="s">
        <v>68</v>
      </c>
      <c r="C111" s="91"/>
      <c r="D111" s="91"/>
      <c r="E111" s="91"/>
      <c r="F111" s="91"/>
      <c r="H111" s="36">
        <f t="shared" si="53"/>
        <v>0</v>
      </c>
      <c r="I111" s="36">
        <f t="shared" si="54"/>
        <v>0</v>
      </c>
      <c r="J111" s="12">
        <f t="shared" si="49"/>
        <v>0</v>
      </c>
      <c r="K111" s="92">
        <f t="shared" si="50"/>
        <v>1</v>
      </c>
      <c r="L111" s="96">
        <f t="shared" si="51"/>
        <v>0</v>
      </c>
      <c r="N111" s="92">
        <f t="shared" si="52"/>
        <v>0</v>
      </c>
      <c r="O111" s="100"/>
      <c r="R111" s="124">
        <v>3.0000000000000001E-3</v>
      </c>
    </row>
    <row r="112" spans="1:23">
      <c r="B112" s="11" t="s">
        <v>178</v>
      </c>
      <c r="C112" s="91"/>
      <c r="D112" s="91"/>
      <c r="E112" s="91"/>
      <c r="F112" s="91"/>
      <c r="H112" s="36">
        <f t="shared" si="53"/>
        <v>0</v>
      </c>
      <c r="I112" s="36">
        <f t="shared" si="54"/>
        <v>0</v>
      </c>
      <c r="J112" s="12">
        <f t="shared" si="49"/>
        <v>0</v>
      </c>
      <c r="K112" s="92">
        <f t="shared" si="50"/>
        <v>1</v>
      </c>
      <c r="L112" s="96">
        <f t="shared" si="51"/>
        <v>0</v>
      </c>
      <c r="N112" s="92">
        <f t="shared" si="52"/>
        <v>0</v>
      </c>
      <c r="O112" s="100"/>
      <c r="R112" s="124">
        <v>2E-3</v>
      </c>
    </row>
    <row r="113" spans="1:21">
      <c r="B113" s="292" t="s">
        <v>69</v>
      </c>
      <c r="C113" s="91"/>
      <c r="D113" s="91"/>
      <c r="E113" s="91"/>
      <c r="F113" s="91"/>
      <c r="G113" s="43"/>
      <c r="H113" s="293">
        <f>S113*1</f>
        <v>0</v>
      </c>
      <c r="I113" s="297">
        <f>T113*1</f>
        <v>0</v>
      </c>
      <c r="J113" s="30">
        <f t="shared" si="49"/>
        <v>0</v>
      </c>
      <c r="K113" s="298">
        <f t="shared" si="50"/>
        <v>1</v>
      </c>
      <c r="L113" s="299">
        <f t="shared" si="51"/>
        <v>0</v>
      </c>
      <c r="M113" s="299"/>
      <c r="N113" s="298">
        <f t="shared" si="52"/>
        <v>0</v>
      </c>
      <c r="O113" s="300"/>
      <c r="P113" s="301"/>
      <c r="Q113" s="43"/>
      <c r="R113" s="302">
        <v>1E-3</v>
      </c>
      <c r="S113" s="43">
        <f>IF(D113/1=0.0007,R113*S$14/10,IF(C113="",D113/1,IF(C113="&lt;",IF(D113/1&lt;=R113,R113*S$14/10,0.7*D113/1))))</f>
        <v>0</v>
      </c>
      <c r="T113" s="43">
        <f>IF(F113/1=0.0007,R113*T$14/10,IF(E113="",F113/1,IF(E113="&lt;",IF(F113/1&lt;=R113,R113*T$14/10,0.7*F113/1))))</f>
        <v>0</v>
      </c>
      <c r="U113" s="43"/>
    </row>
    <row r="114" spans="1:21">
      <c r="B114" s="11" t="s">
        <v>186</v>
      </c>
      <c r="C114" s="91"/>
      <c r="D114" s="91"/>
      <c r="E114" s="91"/>
      <c r="F114" s="91"/>
      <c r="H114" s="36">
        <f t="shared" ref="H114:H115" si="55">IF(C114="&lt;",D114*0.7,D114*1)</f>
        <v>0</v>
      </c>
      <c r="I114" s="36">
        <f t="shared" ref="I114:I115" si="56">IF(E114="&lt;",F114*0.7,F114*1)</f>
        <v>0</v>
      </c>
      <c r="J114" s="12">
        <f t="shared" si="49"/>
        <v>0</v>
      </c>
      <c r="K114" s="92">
        <f t="shared" si="50"/>
        <v>1</v>
      </c>
      <c r="L114" s="96">
        <f t="shared" si="51"/>
        <v>0</v>
      </c>
      <c r="N114" s="92">
        <f t="shared" si="52"/>
        <v>0</v>
      </c>
      <c r="O114" s="100"/>
      <c r="R114" s="124">
        <v>1E-3</v>
      </c>
    </row>
    <row r="115" spans="1:21">
      <c r="B115" s="11" t="s">
        <v>70</v>
      </c>
      <c r="C115" s="91"/>
      <c r="D115" s="91"/>
      <c r="E115" s="91"/>
      <c r="F115" s="91"/>
      <c r="H115" s="36">
        <f t="shared" si="55"/>
        <v>0</v>
      </c>
      <c r="I115" s="36">
        <f t="shared" si="56"/>
        <v>0</v>
      </c>
      <c r="J115" s="12">
        <f t="shared" si="49"/>
        <v>0</v>
      </c>
      <c r="K115" s="92">
        <f t="shared" si="50"/>
        <v>1</v>
      </c>
      <c r="L115" s="96">
        <f t="shared" si="51"/>
        <v>0</v>
      </c>
      <c r="N115" s="92">
        <f t="shared" si="52"/>
        <v>0</v>
      </c>
      <c r="O115" s="100"/>
      <c r="R115" s="124"/>
    </row>
    <row r="116" spans="1:21">
      <c r="C116" s="91"/>
      <c r="D116" s="91"/>
      <c r="E116" s="91"/>
      <c r="F116" s="91"/>
      <c r="H116" s="12"/>
      <c r="I116" s="12"/>
      <c r="O116" s="100"/>
      <c r="R116" s="124"/>
    </row>
    <row r="117" spans="1:21">
      <c r="A117" s="10" t="s">
        <v>72</v>
      </c>
      <c r="B117" s="35" t="s">
        <v>71</v>
      </c>
      <c r="C117" s="91"/>
      <c r="D117" s="91"/>
      <c r="E117" s="91"/>
      <c r="F117" s="91"/>
      <c r="G117" s="43"/>
      <c r="H117" s="30"/>
      <c r="I117" s="30"/>
      <c r="O117" s="100"/>
      <c r="R117" s="124"/>
    </row>
    <row r="118" spans="1:21">
      <c r="B118" s="11" t="s">
        <v>211</v>
      </c>
      <c r="C118" s="91"/>
      <c r="D118" s="91"/>
      <c r="E118" s="91"/>
      <c r="F118" s="91"/>
      <c r="H118" s="36">
        <f t="shared" ref="H118:H119" si="57">IF(C118="&lt;",D118*0.7,D118*1)</f>
        <v>0</v>
      </c>
      <c r="I118" s="36">
        <f t="shared" ref="I118:I119" si="58">IF(E118="&lt;",F118*0.7,F118*1)</f>
        <v>0</v>
      </c>
      <c r="J118" s="12">
        <f t="shared" ref="J118:J123" si="59">IF(D118+F118&gt;0,1,0)</f>
        <v>0</v>
      </c>
      <c r="K118" s="92">
        <f t="shared" ref="K118:K123" si="60">IF(H118*I118&gt;0,2,1)</f>
        <v>1</v>
      </c>
      <c r="L118" s="96">
        <f t="shared" ref="L118:L123" si="61">(H118+I118)/K118</f>
        <v>0</v>
      </c>
      <c r="N118" s="92">
        <f t="shared" ref="N118:N123" si="62">IF(D118+F118&gt;0,1,0)</f>
        <v>0</v>
      </c>
      <c r="O118" s="100"/>
      <c r="R118" s="124"/>
    </row>
    <row r="119" spans="1:21">
      <c r="B119" s="11" t="s">
        <v>212</v>
      </c>
      <c r="C119" s="91"/>
      <c r="D119" s="91"/>
      <c r="E119" s="91"/>
      <c r="F119" s="91"/>
      <c r="H119" s="36">
        <f t="shared" si="57"/>
        <v>0</v>
      </c>
      <c r="I119" s="36">
        <f t="shared" si="58"/>
        <v>0</v>
      </c>
      <c r="J119" s="12">
        <f t="shared" si="59"/>
        <v>0</v>
      </c>
      <c r="K119" s="92">
        <f t="shared" si="60"/>
        <v>1</v>
      </c>
      <c r="L119" s="96">
        <f t="shared" si="61"/>
        <v>0</v>
      </c>
      <c r="N119" s="92">
        <f t="shared" si="62"/>
        <v>0</v>
      </c>
      <c r="O119" s="100"/>
      <c r="R119" s="124"/>
    </row>
    <row r="120" spans="1:21">
      <c r="B120" s="292" t="s">
        <v>73</v>
      </c>
      <c r="C120" s="91"/>
      <c r="D120" s="91"/>
      <c r="E120" s="91"/>
      <c r="F120" s="91"/>
      <c r="H120" s="293">
        <f>S120*1</f>
        <v>0</v>
      </c>
      <c r="I120" s="293">
        <f>T120*1</f>
        <v>0</v>
      </c>
      <c r="J120" s="12">
        <f t="shared" si="59"/>
        <v>0</v>
      </c>
      <c r="K120" s="92">
        <f t="shared" si="60"/>
        <v>1</v>
      </c>
      <c r="L120" s="96">
        <f t="shared" si="61"/>
        <v>0</v>
      </c>
      <c r="N120" s="92">
        <f t="shared" si="62"/>
        <v>0</v>
      </c>
      <c r="O120" s="100"/>
      <c r="R120" s="124">
        <v>3.0000000000000001E-3</v>
      </c>
      <c r="S120" s="16">
        <f>IF(D120/1=0.0021,R120*S$14/10,IF(C120="",D120/1,IF(C120="&lt;",IF(D120/1&lt;=R120,R120*S$14/10,0.7*D120/1))))</f>
        <v>0</v>
      </c>
      <c r="T120" s="16">
        <f>IF(F120/1=0.0021,R120*T$14/10,IF(E120="",F120/1,IF(E120="&lt;",IF(F120/1&lt;=R120,R120*T$14/10,0.7*F120/1))))</f>
        <v>0</v>
      </c>
    </row>
    <row r="121" spans="1:21">
      <c r="B121" s="11" t="s">
        <v>74</v>
      </c>
      <c r="C121" s="91"/>
      <c r="D121" s="91"/>
      <c r="E121" s="91"/>
      <c r="F121" s="91"/>
      <c r="H121" s="36">
        <f t="shared" ref="H121" si="63">IF(C121="&lt;",D121*0.7,D121*1)</f>
        <v>0</v>
      </c>
      <c r="I121" s="36">
        <f t="shared" ref="I121" si="64">IF(E121="&lt;",F121*0.7,F121*1)</f>
        <v>0</v>
      </c>
      <c r="J121" s="12">
        <f t="shared" si="59"/>
        <v>0</v>
      </c>
      <c r="K121" s="92">
        <f t="shared" si="60"/>
        <v>1</v>
      </c>
      <c r="L121" s="96">
        <f t="shared" si="61"/>
        <v>0</v>
      </c>
      <c r="N121" s="92">
        <f t="shared" si="62"/>
        <v>0</v>
      </c>
      <c r="O121" s="100"/>
      <c r="R121" s="124"/>
    </row>
    <row r="122" spans="1:21">
      <c r="B122" s="292" t="s">
        <v>75</v>
      </c>
      <c r="C122" s="91"/>
      <c r="D122" s="91"/>
      <c r="E122" s="91"/>
      <c r="F122" s="91"/>
      <c r="H122" s="293">
        <f>S122*1</f>
        <v>0</v>
      </c>
      <c r="I122" s="293">
        <f>T122*1</f>
        <v>0</v>
      </c>
      <c r="J122" s="12">
        <f t="shared" si="59"/>
        <v>0</v>
      </c>
      <c r="K122" s="92">
        <f t="shared" si="60"/>
        <v>1</v>
      </c>
      <c r="L122" s="96">
        <f t="shared" si="61"/>
        <v>0</v>
      </c>
      <c r="N122" s="92">
        <f t="shared" si="62"/>
        <v>0</v>
      </c>
      <c r="O122" s="100"/>
      <c r="R122" s="124">
        <v>3.0000000000000001E-3</v>
      </c>
      <c r="S122" s="16">
        <f>IF(D122/1=0.0021,R122*S$14/10,IF(C122="",D122/1,IF(C122="&lt;",IF(D122/1&lt;=R122,R122*S$14/10,0.7*D122/1))))</f>
        <v>0</v>
      </c>
      <c r="T122" s="16">
        <f>IF(F122/1=0.0021,R122*T$14/10,IF(E122="",F122/1,IF(E122="&lt;",IF(F122/1&lt;=R122,R122*T$14/10,0.7*F122/1))))</f>
        <v>0</v>
      </c>
    </row>
    <row r="123" spans="1:21">
      <c r="B123" s="11" t="s">
        <v>179</v>
      </c>
      <c r="C123" s="91"/>
      <c r="D123" s="91"/>
      <c r="E123" s="91"/>
      <c r="F123" s="91"/>
      <c r="H123" s="36">
        <f t="shared" ref="H123" si="65">IF(C123="&lt;",D123*0.7,D123*1)</f>
        <v>0</v>
      </c>
      <c r="I123" s="36">
        <f t="shared" ref="I123" si="66">IF(E123="&lt;",F123*0.7,F123*1)</f>
        <v>0</v>
      </c>
      <c r="J123" s="12">
        <f t="shared" si="59"/>
        <v>0</v>
      </c>
      <c r="K123" s="92">
        <f t="shared" si="60"/>
        <v>1</v>
      </c>
      <c r="L123" s="96">
        <f t="shared" si="61"/>
        <v>0</v>
      </c>
      <c r="N123" s="92">
        <f t="shared" si="62"/>
        <v>0</v>
      </c>
      <c r="O123" s="100"/>
      <c r="R123" s="124"/>
    </row>
    <row r="124" spans="1:21">
      <c r="C124" s="91"/>
      <c r="D124" s="91"/>
      <c r="E124" s="91"/>
      <c r="F124" s="91"/>
      <c r="H124" s="12"/>
      <c r="I124" s="12"/>
      <c r="O124" s="100"/>
      <c r="R124" s="124" t="s">
        <v>278</v>
      </c>
    </row>
    <row r="125" spans="1:21">
      <c r="A125" s="10" t="s">
        <v>76</v>
      </c>
      <c r="B125" s="35" t="s">
        <v>393</v>
      </c>
      <c r="C125" s="91"/>
      <c r="D125" s="91"/>
      <c r="E125" s="91"/>
      <c r="F125" s="91"/>
      <c r="G125" s="43"/>
      <c r="H125" s="30" t="s">
        <v>5</v>
      </c>
      <c r="I125" s="30" t="s">
        <v>5</v>
      </c>
      <c r="O125" s="100"/>
      <c r="R125" s="125" t="s">
        <v>444</v>
      </c>
    </row>
    <row r="126" spans="1:21">
      <c r="B126" s="11" t="s">
        <v>79</v>
      </c>
      <c r="C126" s="421"/>
      <c r="D126" s="91"/>
      <c r="E126" s="91"/>
      <c r="F126" s="91"/>
      <c r="H126" s="40">
        <f>IF(C126="&lt;",D126*0.7/1000,D126/1000)</f>
        <v>0</v>
      </c>
      <c r="I126" s="40">
        <f>IF(E126="&lt;",F126*0.7/1000,F126/1000)</f>
        <v>0</v>
      </c>
      <c r="J126" s="12">
        <f t="shared" ref="J126:J133" si="67">IF(D126+F126&gt;0,1,0)</f>
        <v>0</v>
      </c>
      <c r="K126" s="92">
        <f t="shared" ref="K126:K133" si="68">IF(H126*I126&gt;0,2,1)</f>
        <v>1</v>
      </c>
      <c r="L126" s="417">
        <f t="shared" ref="L126:L133" si="69">(H126+I126)/K126</f>
        <v>0</v>
      </c>
      <c r="O126" s="100">
        <v>2</v>
      </c>
      <c r="R126" s="124">
        <v>2</v>
      </c>
    </row>
    <row r="127" spans="1:21">
      <c r="B127" s="11" t="s">
        <v>80</v>
      </c>
      <c r="C127" s="421"/>
      <c r="D127" s="91"/>
      <c r="E127" s="91"/>
      <c r="F127" s="91"/>
      <c r="H127" s="40">
        <f t="shared" ref="H127:H132" si="70">IF(C127="&lt;",D127*0.7/1000,D127/1000)</f>
        <v>0</v>
      </c>
      <c r="I127" s="40">
        <f t="shared" ref="I127:I132" si="71">IF(E127="&lt;",F127*0.7/1000,F127/1000)</f>
        <v>0</v>
      </c>
      <c r="J127" s="12">
        <f t="shared" si="67"/>
        <v>0</v>
      </c>
      <c r="K127" s="92">
        <f t="shared" si="68"/>
        <v>1</v>
      </c>
      <c r="L127" s="417">
        <f t="shared" si="69"/>
        <v>0</v>
      </c>
      <c r="O127" s="100">
        <v>2</v>
      </c>
      <c r="R127" s="124">
        <v>2</v>
      </c>
    </row>
    <row r="128" spans="1:21">
      <c r="B128" s="11" t="s">
        <v>85</v>
      </c>
      <c r="C128" s="91"/>
      <c r="D128" s="91"/>
      <c r="E128" s="91"/>
      <c r="F128" s="91"/>
      <c r="H128" s="40">
        <f t="shared" si="70"/>
        <v>0</v>
      </c>
      <c r="I128" s="40">
        <f t="shared" si="71"/>
        <v>0</v>
      </c>
      <c r="J128" s="12">
        <f t="shared" si="67"/>
        <v>0</v>
      </c>
      <c r="K128" s="92">
        <f t="shared" si="68"/>
        <v>1</v>
      </c>
      <c r="L128" s="417">
        <f t="shared" si="69"/>
        <v>0</v>
      </c>
      <c r="O128" s="100">
        <v>2</v>
      </c>
      <c r="R128" s="124">
        <v>2</v>
      </c>
    </row>
    <row r="129" spans="1:21">
      <c r="B129" s="11" t="s">
        <v>84</v>
      </c>
      <c r="C129" s="421"/>
      <c r="D129" s="91"/>
      <c r="E129" s="91"/>
      <c r="F129" s="91"/>
      <c r="H129" s="40">
        <f t="shared" si="70"/>
        <v>0</v>
      </c>
      <c r="I129" s="40">
        <f t="shared" si="71"/>
        <v>0</v>
      </c>
      <c r="J129" s="12">
        <f t="shared" si="67"/>
        <v>0</v>
      </c>
      <c r="K129" s="92">
        <f t="shared" si="68"/>
        <v>1</v>
      </c>
      <c r="L129" s="417">
        <f t="shared" si="69"/>
        <v>0</v>
      </c>
      <c r="O129" s="100">
        <v>2</v>
      </c>
      <c r="R129" s="124">
        <v>2</v>
      </c>
    </row>
    <row r="130" spans="1:21">
      <c r="B130" s="11" t="s">
        <v>180</v>
      </c>
      <c r="C130" s="91"/>
      <c r="D130" s="91"/>
      <c r="E130" s="91"/>
      <c r="F130" s="91"/>
      <c r="H130" s="40">
        <f t="shared" si="70"/>
        <v>0</v>
      </c>
      <c r="I130" s="40">
        <f t="shared" si="71"/>
        <v>0</v>
      </c>
      <c r="J130" s="12">
        <f t="shared" si="67"/>
        <v>0</v>
      </c>
      <c r="K130" s="92">
        <f t="shared" si="68"/>
        <v>1</v>
      </c>
      <c r="L130" s="417">
        <f t="shared" si="69"/>
        <v>0</v>
      </c>
      <c r="O130" s="100">
        <v>2</v>
      </c>
      <c r="R130" s="124">
        <v>2</v>
      </c>
    </row>
    <row r="131" spans="1:21">
      <c r="B131" s="11" t="s">
        <v>81</v>
      </c>
      <c r="C131" s="91"/>
      <c r="D131" s="91"/>
      <c r="E131" s="91"/>
      <c r="F131" s="91"/>
      <c r="H131" s="40">
        <f t="shared" si="70"/>
        <v>0</v>
      </c>
      <c r="I131" s="40">
        <f t="shared" si="71"/>
        <v>0</v>
      </c>
      <c r="J131" s="12">
        <f t="shared" si="67"/>
        <v>0</v>
      </c>
      <c r="K131" s="92">
        <f t="shared" si="68"/>
        <v>1</v>
      </c>
      <c r="L131" s="417">
        <f t="shared" si="69"/>
        <v>0</v>
      </c>
      <c r="O131" s="100">
        <v>2</v>
      </c>
      <c r="R131" s="124">
        <v>2</v>
      </c>
    </row>
    <row r="132" spans="1:21">
      <c r="B132" s="11" t="s">
        <v>82</v>
      </c>
      <c r="C132" s="91"/>
      <c r="D132" s="91"/>
      <c r="E132" s="91"/>
      <c r="F132" s="91"/>
      <c r="H132" s="40">
        <f t="shared" si="70"/>
        <v>0</v>
      </c>
      <c r="I132" s="40">
        <f t="shared" si="71"/>
        <v>0</v>
      </c>
      <c r="J132" s="12">
        <f t="shared" si="67"/>
        <v>0</v>
      </c>
      <c r="K132" s="92">
        <f t="shared" si="68"/>
        <v>1</v>
      </c>
      <c r="L132" s="417">
        <f t="shared" si="69"/>
        <v>0</v>
      </c>
      <c r="O132" s="100">
        <v>2</v>
      </c>
      <c r="R132" s="124">
        <v>2</v>
      </c>
    </row>
    <row r="133" spans="1:21">
      <c r="B133" s="292" t="s">
        <v>83</v>
      </c>
      <c r="C133" s="91"/>
      <c r="D133" s="91"/>
      <c r="E133" s="91"/>
      <c r="F133" s="91"/>
      <c r="H133" s="293">
        <f>IF(D133="",0,D133/1000)</f>
        <v>0</v>
      </c>
      <c r="I133" s="293">
        <f>IF(F133="",0,F133/1000)</f>
        <v>0</v>
      </c>
      <c r="J133" s="12">
        <f t="shared" si="67"/>
        <v>0</v>
      </c>
      <c r="K133" s="92">
        <f t="shared" si="68"/>
        <v>1</v>
      </c>
      <c r="L133" s="417">
        <f t="shared" si="69"/>
        <v>0</v>
      </c>
      <c r="N133" s="92">
        <f t="shared" ref="N133" si="72">IF(D133+F133&gt;0,1,0)</f>
        <v>0</v>
      </c>
      <c r="O133" s="104">
        <v>1</v>
      </c>
      <c r="P133" s="103"/>
      <c r="R133" s="124">
        <v>14</v>
      </c>
      <c r="S133" s="418">
        <f>IF(H133&gt;0,IF(MIN(H126:H132)/MAX(H126:H132)=1,IF(H133=0.0049,H133*10/S14,0.02),0.02),0.02)</f>
        <v>0.02</v>
      </c>
      <c r="T133" s="418">
        <f>IF(I133&gt;0,IF(MIN(I126:I132)/MAX(I126:I132)=1,IF(I133=0.0049,I133*10/T14,0.02),0.02),0.02)</f>
        <v>0.02</v>
      </c>
      <c r="U133" s="16">
        <f>IF(I133*H133&gt;0,IF(I133/H133=1,(S133+T133)/2,0.02),S133)</f>
        <v>0.02</v>
      </c>
    </row>
    <row r="134" spans="1:21">
      <c r="C134" s="91"/>
      <c r="D134" s="91"/>
      <c r="E134" s="91"/>
      <c r="F134" s="91"/>
      <c r="H134" s="12"/>
      <c r="I134" s="12"/>
      <c r="O134" s="100"/>
      <c r="R134" s="124" t="s">
        <v>278</v>
      </c>
    </row>
    <row r="135" spans="1:21">
      <c r="A135" s="10" t="s">
        <v>86</v>
      </c>
      <c r="B135" s="35" t="s">
        <v>453</v>
      </c>
      <c r="C135" s="91"/>
      <c r="D135" s="91"/>
      <c r="E135" s="91"/>
      <c r="F135" s="91"/>
      <c r="G135" s="43"/>
      <c r="H135" s="30"/>
      <c r="I135" s="30"/>
      <c r="O135" s="100"/>
      <c r="R135" s="125" t="s">
        <v>5</v>
      </c>
    </row>
    <row r="136" spans="1:21">
      <c r="B136" s="11" t="s">
        <v>213</v>
      </c>
      <c r="C136" s="91"/>
      <c r="D136" s="91"/>
      <c r="E136" s="91"/>
      <c r="F136" s="91"/>
      <c r="H136" s="40">
        <f t="shared" ref="H136:H139" si="73">IF(C136="&lt;",D136*0.7,D136*1)</f>
        <v>0</v>
      </c>
      <c r="I136" s="40">
        <f t="shared" ref="I136:I139" si="74">IF(E136="&lt;",F136*0.7,F136*1)</f>
        <v>0</v>
      </c>
      <c r="J136" s="12">
        <f t="shared" ref="J136:J139" si="75">IF(D136+F136&gt;0,1,0)</f>
        <v>0</v>
      </c>
      <c r="K136" s="92">
        <f>IF(H136*I136&gt;0,2,1)</f>
        <v>1</v>
      </c>
      <c r="L136" s="96">
        <f>(H136+I136)/K136</f>
        <v>0</v>
      </c>
      <c r="N136" s="92">
        <f t="shared" ref="N136:N139" si="76">IF(D136+F136&gt;0,1,0)</f>
        <v>0</v>
      </c>
      <c r="O136" s="100"/>
      <c r="R136" s="124"/>
    </row>
    <row r="137" spans="1:21">
      <c r="B137" s="11" t="s">
        <v>88</v>
      </c>
      <c r="C137" s="91"/>
      <c r="D137" s="91"/>
      <c r="E137" s="91"/>
      <c r="F137" s="91"/>
      <c r="H137" s="40">
        <f t="shared" si="73"/>
        <v>0</v>
      </c>
      <c r="I137" s="40">
        <f t="shared" si="74"/>
        <v>0</v>
      </c>
      <c r="J137" s="12">
        <f t="shared" si="75"/>
        <v>0</v>
      </c>
      <c r="K137" s="92">
        <f>IF(H137*I137&gt;0,2,1)</f>
        <v>1</v>
      </c>
      <c r="L137" s="96">
        <f>(H137+I137)/K137</f>
        <v>0</v>
      </c>
      <c r="N137" s="92">
        <f t="shared" si="76"/>
        <v>0</v>
      </c>
      <c r="O137" s="100"/>
      <c r="R137" s="124"/>
    </row>
    <row r="138" spans="1:21">
      <c r="B138" s="11" t="s">
        <v>89</v>
      </c>
      <c r="C138" s="91"/>
      <c r="D138" s="91"/>
      <c r="E138" s="91"/>
      <c r="F138" s="91"/>
      <c r="H138" s="40">
        <f t="shared" si="73"/>
        <v>0</v>
      </c>
      <c r="I138" s="40">
        <f t="shared" si="74"/>
        <v>0</v>
      </c>
      <c r="J138" s="12">
        <f t="shared" si="75"/>
        <v>0</v>
      </c>
      <c r="K138" s="92">
        <f>IF(H138*I138&gt;0,2,1)</f>
        <v>1</v>
      </c>
      <c r="L138" s="96">
        <f>(H138+I138)/K138</f>
        <v>0</v>
      </c>
      <c r="N138" s="92">
        <f t="shared" si="76"/>
        <v>0</v>
      </c>
      <c r="O138" s="100"/>
      <c r="R138" s="124"/>
    </row>
    <row r="139" spans="1:21">
      <c r="B139" s="11" t="s">
        <v>90</v>
      </c>
      <c r="C139" s="91"/>
      <c r="D139" s="91"/>
      <c r="E139" s="91"/>
      <c r="F139" s="91"/>
      <c r="H139" s="40">
        <f t="shared" si="73"/>
        <v>0</v>
      </c>
      <c r="I139" s="40">
        <f t="shared" si="74"/>
        <v>0</v>
      </c>
      <c r="J139" s="12">
        <f t="shared" si="75"/>
        <v>0</v>
      </c>
      <c r="K139" s="92">
        <f>IF(H139*I139&gt;0,2,1)</f>
        <v>1</v>
      </c>
      <c r="L139" s="96">
        <f>(H139+I139)/K139</f>
        <v>0</v>
      </c>
      <c r="N139" s="92">
        <f t="shared" si="76"/>
        <v>0</v>
      </c>
      <c r="O139" s="100"/>
      <c r="R139" s="124"/>
    </row>
    <row r="140" spans="1:21">
      <c r="C140" s="91"/>
      <c r="D140" s="91"/>
      <c r="E140" s="91"/>
      <c r="F140" s="91"/>
      <c r="H140" s="12"/>
      <c r="I140" s="12"/>
      <c r="O140" s="100"/>
      <c r="R140" s="124"/>
    </row>
    <row r="141" spans="1:21">
      <c r="A141" s="32">
        <v>6</v>
      </c>
      <c r="B141" s="32" t="s">
        <v>111</v>
      </c>
      <c r="C141" s="91"/>
      <c r="D141" s="91"/>
      <c r="E141" s="91"/>
      <c r="F141" s="91"/>
      <c r="I141" s="39"/>
      <c r="O141" s="100"/>
      <c r="R141" s="124" t="s">
        <v>278</v>
      </c>
    </row>
    <row r="142" spans="1:21">
      <c r="A142" s="37" t="s">
        <v>65</v>
      </c>
      <c r="B142" s="38" t="s">
        <v>394</v>
      </c>
      <c r="C142" s="91"/>
      <c r="D142" s="91"/>
      <c r="E142" s="91"/>
      <c r="F142" s="91"/>
      <c r="G142" s="43"/>
      <c r="H142" s="30" t="s">
        <v>5</v>
      </c>
      <c r="I142" s="30" t="s">
        <v>5</v>
      </c>
      <c r="O142" s="100"/>
      <c r="R142" s="125" t="s">
        <v>444</v>
      </c>
    </row>
    <row r="143" spans="1:21">
      <c r="B143" s="292" t="s">
        <v>214</v>
      </c>
      <c r="C143" s="91"/>
      <c r="D143" s="91"/>
      <c r="E143" s="91"/>
      <c r="F143" s="91"/>
      <c r="H143" s="293">
        <f>S143/1000</f>
        <v>0</v>
      </c>
      <c r="I143" s="293">
        <f>T143/1000</f>
        <v>0</v>
      </c>
      <c r="J143" s="12">
        <f t="shared" ref="J143:J164" si="77">IF(D143+F143&gt;0,1,0)</f>
        <v>0</v>
      </c>
      <c r="K143" s="92">
        <f t="shared" ref="K143:K164" si="78">IF(H143*I143&gt;0,2,1)</f>
        <v>1</v>
      </c>
      <c r="L143" s="96">
        <f t="shared" ref="L143:L164" si="79">(H143+I143)/K143</f>
        <v>0</v>
      </c>
      <c r="N143" s="92">
        <f t="shared" ref="N143:N146" si="80">IF(D143+F143&gt;0,1,0)</f>
        <v>0</v>
      </c>
      <c r="O143" s="100">
        <v>2</v>
      </c>
      <c r="R143" s="124">
        <v>2</v>
      </c>
      <c r="S143" s="16">
        <f>IF(D143/1=1.4,R143*S$14/10,IF(C143="",D143/1,IF(C143="&lt;",IF(D143/1&lt;=R143,R143*S$14/10,0.7*D143/1))))</f>
        <v>0</v>
      </c>
      <c r="T143" s="16">
        <f>IF(F143/1=1.4,R143*T$14/10,IF(E143="",F143/1,IF(E143="&lt;",IF(F143/1&lt;=R143,R143*T$14/10,0.7*F143/1))))</f>
        <v>0</v>
      </c>
    </row>
    <row r="144" spans="1:21">
      <c r="B144" s="11" t="s">
        <v>92</v>
      </c>
      <c r="C144" s="91"/>
      <c r="D144" s="91"/>
      <c r="E144" s="91"/>
      <c r="F144" s="91"/>
      <c r="H144" s="40">
        <f>IF(C144="&lt;",D144*0.7/1000,D144/1000)</f>
        <v>0</v>
      </c>
      <c r="I144" s="40">
        <f>IF(E144="&lt;",F144*0.7/1000,F144/1000)</f>
        <v>0</v>
      </c>
      <c r="J144" s="12">
        <f t="shared" si="77"/>
        <v>0</v>
      </c>
      <c r="K144" s="92">
        <f t="shared" si="78"/>
        <v>1</v>
      </c>
      <c r="L144" s="96">
        <f t="shared" si="79"/>
        <v>0</v>
      </c>
      <c r="N144" s="92">
        <f t="shared" si="80"/>
        <v>0</v>
      </c>
      <c r="O144" s="100">
        <v>2</v>
      </c>
      <c r="R144" s="124">
        <v>2</v>
      </c>
    </row>
    <row r="145" spans="2:18">
      <c r="B145" s="11" t="s">
        <v>93</v>
      </c>
      <c r="C145" s="91"/>
      <c r="D145" s="91"/>
      <c r="E145" s="91"/>
      <c r="F145" s="91"/>
      <c r="H145" s="40">
        <f t="shared" ref="H145:H164" si="81">IF(C145="&lt;",D145*0.7/1000,D145/1000)</f>
        <v>0</v>
      </c>
      <c r="I145" s="40">
        <f t="shared" ref="I145:I164" si="82">IF(E145="&lt;",F145*0.7/1000,F145/1000)</f>
        <v>0</v>
      </c>
      <c r="J145" s="12">
        <f t="shared" si="77"/>
        <v>0</v>
      </c>
      <c r="K145" s="92">
        <f t="shared" si="78"/>
        <v>1</v>
      </c>
      <c r="L145" s="96">
        <f t="shared" si="79"/>
        <v>0</v>
      </c>
      <c r="N145" s="92">
        <f t="shared" si="80"/>
        <v>0</v>
      </c>
      <c r="O145" s="100">
        <v>2</v>
      </c>
      <c r="R145" s="124">
        <v>2</v>
      </c>
    </row>
    <row r="146" spans="2:18">
      <c r="B146" s="11" t="s">
        <v>94</v>
      </c>
      <c r="C146" s="91"/>
      <c r="D146" s="91"/>
      <c r="E146" s="91"/>
      <c r="F146" s="91"/>
      <c r="H146" s="40">
        <f t="shared" si="81"/>
        <v>0</v>
      </c>
      <c r="I146" s="40">
        <f t="shared" si="82"/>
        <v>0</v>
      </c>
      <c r="J146" s="12">
        <f t="shared" si="77"/>
        <v>0</v>
      </c>
      <c r="K146" s="92">
        <f t="shared" si="78"/>
        <v>1</v>
      </c>
      <c r="L146" s="96">
        <f t="shared" si="79"/>
        <v>0</v>
      </c>
      <c r="N146" s="92">
        <f t="shared" si="80"/>
        <v>0</v>
      </c>
      <c r="O146" s="100">
        <v>2</v>
      </c>
      <c r="R146" s="124">
        <v>2</v>
      </c>
    </row>
    <row r="147" spans="2:18">
      <c r="B147" s="11" t="s">
        <v>95</v>
      </c>
      <c r="C147" s="91"/>
      <c r="D147" s="91"/>
      <c r="E147" s="91"/>
      <c r="F147" s="91"/>
      <c r="H147" s="40">
        <f t="shared" si="81"/>
        <v>0</v>
      </c>
      <c r="I147" s="40">
        <f t="shared" si="82"/>
        <v>0</v>
      </c>
      <c r="J147" s="12">
        <f t="shared" si="77"/>
        <v>0</v>
      </c>
      <c r="K147" s="92">
        <f t="shared" si="78"/>
        <v>1</v>
      </c>
      <c r="L147" s="96">
        <f t="shared" si="79"/>
        <v>0</v>
      </c>
      <c r="N147" s="92"/>
      <c r="O147" s="100">
        <v>2</v>
      </c>
      <c r="R147" s="124">
        <v>6</v>
      </c>
    </row>
    <row r="148" spans="2:18">
      <c r="B148" s="11" t="s">
        <v>181</v>
      </c>
      <c r="C148" s="91"/>
      <c r="D148" s="91"/>
      <c r="E148" s="91"/>
      <c r="F148" s="91"/>
      <c r="H148" s="40">
        <f t="shared" si="81"/>
        <v>0</v>
      </c>
      <c r="I148" s="40">
        <f t="shared" si="82"/>
        <v>0</v>
      </c>
      <c r="J148" s="12">
        <f t="shared" si="77"/>
        <v>0</v>
      </c>
      <c r="K148" s="92">
        <f t="shared" si="78"/>
        <v>1</v>
      </c>
      <c r="L148" s="96">
        <f t="shared" si="79"/>
        <v>0</v>
      </c>
      <c r="N148" s="92"/>
      <c r="O148" s="100">
        <v>2</v>
      </c>
      <c r="R148" s="124">
        <v>1</v>
      </c>
    </row>
    <row r="149" spans="2:18">
      <c r="B149" s="11" t="s">
        <v>96</v>
      </c>
      <c r="C149" s="91"/>
      <c r="D149" s="91"/>
      <c r="E149" s="91"/>
      <c r="F149" s="91"/>
      <c r="H149" s="40">
        <f t="shared" si="81"/>
        <v>0</v>
      </c>
      <c r="I149" s="40">
        <f t="shared" si="82"/>
        <v>0</v>
      </c>
      <c r="J149" s="12">
        <f t="shared" si="77"/>
        <v>0</v>
      </c>
      <c r="K149" s="92">
        <f t="shared" si="78"/>
        <v>1</v>
      </c>
      <c r="L149" s="96">
        <f t="shared" si="79"/>
        <v>0</v>
      </c>
      <c r="N149" s="92"/>
      <c r="O149" s="100">
        <v>2</v>
      </c>
      <c r="R149" s="124">
        <v>1</v>
      </c>
    </row>
    <row r="150" spans="2:18">
      <c r="B150" s="11" t="s">
        <v>97</v>
      </c>
      <c r="C150" s="91"/>
      <c r="D150" s="91"/>
      <c r="E150" s="91"/>
      <c r="F150" s="91"/>
      <c r="H150" s="40">
        <f t="shared" si="81"/>
        <v>0</v>
      </c>
      <c r="I150" s="40">
        <f t="shared" si="82"/>
        <v>0</v>
      </c>
      <c r="J150" s="12">
        <f t="shared" si="77"/>
        <v>0</v>
      </c>
      <c r="K150" s="92">
        <f t="shared" si="78"/>
        <v>1</v>
      </c>
      <c r="L150" s="96">
        <f t="shared" si="79"/>
        <v>0</v>
      </c>
      <c r="N150" s="92"/>
      <c r="O150" s="100">
        <v>2</v>
      </c>
      <c r="R150" s="124">
        <v>1</v>
      </c>
    </row>
    <row r="151" spans="2:18">
      <c r="B151" s="11" t="s">
        <v>98</v>
      </c>
      <c r="C151" s="91"/>
      <c r="D151" s="91"/>
      <c r="E151" s="91"/>
      <c r="F151" s="91"/>
      <c r="H151" s="40">
        <f t="shared" si="81"/>
        <v>0</v>
      </c>
      <c r="I151" s="40">
        <f t="shared" si="82"/>
        <v>0</v>
      </c>
      <c r="J151" s="12">
        <f t="shared" si="77"/>
        <v>0</v>
      </c>
      <c r="K151" s="92">
        <f t="shared" si="78"/>
        <v>1</v>
      </c>
      <c r="L151" s="96">
        <f t="shared" si="79"/>
        <v>0</v>
      </c>
      <c r="N151" s="92"/>
      <c r="O151" s="100">
        <v>2</v>
      </c>
      <c r="R151" s="124">
        <v>1</v>
      </c>
    </row>
    <row r="152" spans="2:18">
      <c r="B152" s="11" t="s">
        <v>99</v>
      </c>
      <c r="C152" s="91"/>
      <c r="D152" s="91"/>
      <c r="E152" s="91"/>
      <c r="F152" s="91"/>
      <c r="H152" s="40">
        <f t="shared" si="81"/>
        <v>0</v>
      </c>
      <c r="I152" s="40">
        <f t="shared" si="82"/>
        <v>0</v>
      </c>
      <c r="J152" s="12">
        <f t="shared" si="77"/>
        <v>0</v>
      </c>
      <c r="K152" s="92">
        <f t="shared" si="78"/>
        <v>1</v>
      </c>
      <c r="L152" s="96">
        <f t="shared" si="79"/>
        <v>0</v>
      </c>
      <c r="N152" s="92"/>
      <c r="O152" s="100">
        <v>2</v>
      </c>
      <c r="R152" s="124">
        <v>1</v>
      </c>
    </row>
    <row r="153" spans="2:18">
      <c r="B153" s="11" t="s">
        <v>283</v>
      </c>
      <c r="C153" s="91"/>
      <c r="D153" s="91"/>
      <c r="E153" s="91"/>
      <c r="F153" s="91"/>
      <c r="H153" s="40">
        <f t="shared" si="81"/>
        <v>0</v>
      </c>
      <c r="I153" s="40">
        <f t="shared" si="82"/>
        <v>0</v>
      </c>
      <c r="J153" s="12">
        <f t="shared" si="77"/>
        <v>0</v>
      </c>
      <c r="K153" s="92">
        <f t="shared" si="78"/>
        <v>1</v>
      </c>
      <c r="L153" s="96">
        <f t="shared" si="79"/>
        <v>0</v>
      </c>
      <c r="N153" s="92">
        <f t="shared" ref="N153" si="83">IF(D153+F153&gt;0,1,0)</f>
        <v>0</v>
      </c>
      <c r="O153" s="100">
        <v>2</v>
      </c>
      <c r="R153" s="124">
        <v>3</v>
      </c>
    </row>
    <row r="154" spans="2:18">
      <c r="B154" s="11" t="s">
        <v>100</v>
      </c>
      <c r="C154" s="91"/>
      <c r="D154" s="91"/>
      <c r="E154" s="91"/>
      <c r="F154" s="91"/>
      <c r="H154" s="40">
        <f t="shared" si="81"/>
        <v>0</v>
      </c>
      <c r="I154" s="40">
        <f t="shared" si="82"/>
        <v>0</v>
      </c>
      <c r="J154" s="12">
        <f t="shared" si="77"/>
        <v>0</v>
      </c>
      <c r="K154" s="92">
        <f t="shared" si="78"/>
        <v>1</v>
      </c>
      <c r="L154" s="96">
        <f t="shared" si="79"/>
        <v>0</v>
      </c>
      <c r="N154" s="92"/>
      <c r="O154" s="100"/>
      <c r="R154" s="124">
        <v>1</v>
      </c>
    </row>
    <row r="155" spans="2:18">
      <c r="B155" s="11" t="s">
        <v>101</v>
      </c>
      <c r="C155" s="91"/>
      <c r="D155" s="91"/>
      <c r="E155" s="91"/>
      <c r="F155" s="91"/>
      <c r="H155" s="40">
        <f t="shared" si="81"/>
        <v>0</v>
      </c>
      <c r="I155" s="40">
        <f t="shared" si="82"/>
        <v>0</v>
      </c>
      <c r="J155" s="12">
        <f t="shared" si="77"/>
        <v>0</v>
      </c>
      <c r="K155" s="92">
        <f t="shared" si="78"/>
        <v>1</v>
      </c>
      <c r="L155" s="96">
        <f t="shared" si="79"/>
        <v>0</v>
      </c>
      <c r="N155" s="92">
        <f t="shared" ref="N155:N160" si="84">IF(D155+F155&gt;0,1,0)</f>
        <v>0</v>
      </c>
      <c r="O155" s="100">
        <v>2</v>
      </c>
      <c r="R155" s="124">
        <v>1</v>
      </c>
    </row>
    <row r="156" spans="2:18">
      <c r="B156" s="11" t="s">
        <v>102</v>
      </c>
      <c r="C156" s="91"/>
      <c r="D156" s="91"/>
      <c r="E156" s="91"/>
      <c r="F156" s="91"/>
      <c r="H156" s="40">
        <f t="shared" si="81"/>
        <v>0</v>
      </c>
      <c r="I156" s="40">
        <f t="shared" si="82"/>
        <v>0</v>
      </c>
      <c r="J156" s="12">
        <f t="shared" si="77"/>
        <v>0</v>
      </c>
      <c r="K156" s="92">
        <f t="shared" si="78"/>
        <v>1</v>
      </c>
      <c r="L156" s="96">
        <f t="shared" si="79"/>
        <v>0</v>
      </c>
      <c r="N156" s="92">
        <f t="shared" si="84"/>
        <v>0</v>
      </c>
      <c r="O156" s="100">
        <v>2</v>
      </c>
      <c r="R156" s="124">
        <v>1</v>
      </c>
    </row>
    <row r="157" spans="2:18">
      <c r="B157" s="11" t="s">
        <v>103</v>
      </c>
      <c r="C157" s="91"/>
      <c r="D157" s="91"/>
      <c r="E157" s="91"/>
      <c r="F157" s="91"/>
      <c r="H157" s="40">
        <f t="shared" si="81"/>
        <v>0</v>
      </c>
      <c r="I157" s="40">
        <f t="shared" si="82"/>
        <v>0</v>
      </c>
      <c r="J157" s="12">
        <f t="shared" si="77"/>
        <v>0</v>
      </c>
      <c r="K157" s="92">
        <f t="shared" si="78"/>
        <v>1</v>
      </c>
      <c r="L157" s="96">
        <f t="shared" si="79"/>
        <v>0</v>
      </c>
      <c r="N157" s="92">
        <f t="shared" si="84"/>
        <v>0</v>
      </c>
      <c r="O157" s="100">
        <v>2</v>
      </c>
      <c r="R157" s="124">
        <v>1</v>
      </c>
    </row>
    <row r="158" spans="2:18">
      <c r="B158" s="11" t="s">
        <v>105</v>
      </c>
      <c r="C158" s="91"/>
      <c r="D158" s="91"/>
      <c r="E158" s="91"/>
      <c r="F158" s="91"/>
      <c r="H158" s="40">
        <f t="shared" si="81"/>
        <v>0</v>
      </c>
      <c r="I158" s="40">
        <f t="shared" si="82"/>
        <v>0</v>
      </c>
      <c r="J158" s="12">
        <f t="shared" si="77"/>
        <v>0</v>
      </c>
      <c r="K158" s="92">
        <f t="shared" si="78"/>
        <v>1</v>
      </c>
      <c r="L158" s="96">
        <f t="shared" si="79"/>
        <v>0</v>
      </c>
      <c r="N158" s="92">
        <f t="shared" si="84"/>
        <v>0</v>
      </c>
      <c r="O158" s="100">
        <v>2</v>
      </c>
      <c r="R158" s="124">
        <v>1</v>
      </c>
    </row>
    <row r="159" spans="2:18">
      <c r="B159" s="11" t="s">
        <v>104</v>
      </c>
      <c r="C159" s="91"/>
      <c r="D159" s="91"/>
      <c r="E159" s="91"/>
      <c r="F159" s="91"/>
      <c r="H159" s="40">
        <f t="shared" si="81"/>
        <v>0</v>
      </c>
      <c r="I159" s="40">
        <f t="shared" si="82"/>
        <v>0</v>
      </c>
      <c r="J159" s="12">
        <f t="shared" si="77"/>
        <v>0</v>
      </c>
      <c r="K159" s="92">
        <f t="shared" si="78"/>
        <v>1</v>
      </c>
      <c r="L159" s="96">
        <f t="shared" si="79"/>
        <v>0</v>
      </c>
      <c r="N159" s="92">
        <f t="shared" si="84"/>
        <v>0</v>
      </c>
      <c r="O159" s="100">
        <v>2</v>
      </c>
      <c r="R159" s="124">
        <v>1</v>
      </c>
    </row>
    <row r="160" spans="2:18">
      <c r="B160" s="11" t="s">
        <v>446</v>
      </c>
      <c r="C160" s="91"/>
      <c r="D160" s="91"/>
      <c r="E160" s="91"/>
      <c r="F160" s="91"/>
      <c r="H160" s="40">
        <f t="shared" si="81"/>
        <v>0</v>
      </c>
      <c r="I160" s="40">
        <f t="shared" si="82"/>
        <v>0</v>
      </c>
      <c r="J160" s="12">
        <f t="shared" si="77"/>
        <v>0</v>
      </c>
      <c r="K160" s="92">
        <f t="shared" si="78"/>
        <v>1</v>
      </c>
      <c r="L160" s="96">
        <f t="shared" si="79"/>
        <v>0</v>
      </c>
      <c r="N160" s="92">
        <f t="shared" si="84"/>
        <v>0</v>
      </c>
      <c r="O160" s="100">
        <v>2</v>
      </c>
      <c r="R160" s="124">
        <v>3</v>
      </c>
    </row>
    <row r="161" spans="1:18">
      <c r="B161" s="11" t="s">
        <v>107</v>
      </c>
      <c r="C161" s="91"/>
      <c r="D161" s="91"/>
      <c r="E161" s="91"/>
      <c r="F161" s="91"/>
      <c r="H161" s="40">
        <f t="shared" si="81"/>
        <v>0</v>
      </c>
      <c r="I161" s="40">
        <f t="shared" si="82"/>
        <v>0</v>
      </c>
      <c r="J161" s="12">
        <f t="shared" si="77"/>
        <v>0</v>
      </c>
      <c r="K161" s="92">
        <f t="shared" si="78"/>
        <v>1</v>
      </c>
      <c r="L161" s="96">
        <f t="shared" si="79"/>
        <v>0</v>
      </c>
      <c r="N161" s="92">
        <f t="shared" ref="N161:N164" si="85">IF(D161+F161&gt;0,1,0)</f>
        <v>0</v>
      </c>
      <c r="O161" s="100">
        <v>2</v>
      </c>
      <c r="R161" s="124">
        <v>1</v>
      </c>
    </row>
    <row r="162" spans="1:18">
      <c r="B162" s="11" t="s">
        <v>108</v>
      </c>
      <c r="C162" s="91"/>
      <c r="D162" s="91"/>
      <c r="E162" s="91"/>
      <c r="F162" s="91"/>
      <c r="H162" s="40">
        <f t="shared" si="81"/>
        <v>0</v>
      </c>
      <c r="I162" s="40">
        <f t="shared" si="82"/>
        <v>0</v>
      </c>
      <c r="J162" s="12">
        <f t="shared" si="77"/>
        <v>0</v>
      </c>
      <c r="K162" s="92">
        <f t="shared" si="78"/>
        <v>1</v>
      </c>
      <c r="L162" s="96">
        <f t="shared" si="79"/>
        <v>0</v>
      </c>
      <c r="N162" s="92">
        <f t="shared" si="85"/>
        <v>0</v>
      </c>
      <c r="O162" s="100">
        <v>2</v>
      </c>
      <c r="R162" s="124">
        <v>2</v>
      </c>
    </row>
    <row r="163" spans="1:18">
      <c r="B163" s="11" t="s">
        <v>109</v>
      </c>
      <c r="C163" s="91"/>
      <c r="D163" s="91"/>
      <c r="E163" s="91"/>
      <c r="F163" s="91"/>
      <c r="H163" s="40">
        <f t="shared" si="81"/>
        <v>0</v>
      </c>
      <c r="I163" s="40">
        <f t="shared" si="82"/>
        <v>0</v>
      </c>
      <c r="J163" s="12">
        <f t="shared" si="77"/>
        <v>0</v>
      </c>
      <c r="K163" s="92">
        <f t="shared" si="78"/>
        <v>1</v>
      </c>
      <c r="L163" s="96">
        <f t="shared" si="79"/>
        <v>0</v>
      </c>
      <c r="N163" s="92">
        <f t="shared" si="85"/>
        <v>0</v>
      </c>
      <c r="O163" s="100">
        <v>2</v>
      </c>
      <c r="R163" s="124">
        <v>1</v>
      </c>
    </row>
    <row r="164" spans="1:18">
      <c r="B164" s="11" t="s">
        <v>110</v>
      </c>
      <c r="C164" s="91"/>
      <c r="D164" s="91"/>
      <c r="E164" s="91"/>
      <c r="F164" s="91"/>
      <c r="H164" s="40">
        <f t="shared" si="81"/>
        <v>0</v>
      </c>
      <c r="I164" s="40">
        <f t="shared" si="82"/>
        <v>0</v>
      </c>
      <c r="J164" s="12">
        <f t="shared" si="77"/>
        <v>0</v>
      </c>
      <c r="K164" s="92">
        <f t="shared" si="78"/>
        <v>1</v>
      </c>
      <c r="L164" s="96">
        <f t="shared" si="79"/>
        <v>0</v>
      </c>
      <c r="N164" s="92">
        <f t="shared" si="85"/>
        <v>0</v>
      </c>
      <c r="O164" s="100">
        <v>2</v>
      </c>
      <c r="R164" s="124"/>
    </row>
    <row r="165" spans="1:18">
      <c r="C165" s="91"/>
      <c r="D165" s="91"/>
      <c r="E165" s="91"/>
      <c r="F165" s="91"/>
      <c r="H165" s="12"/>
      <c r="I165" s="12"/>
      <c r="O165" s="100"/>
      <c r="R165" s="124"/>
    </row>
    <row r="166" spans="1:18">
      <c r="A166" s="10" t="s">
        <v>67</v>
      </c>
      <c r="B166" s="35" t="s">
        <v>620</v>
      </c>
      <c r="C166" s="91"/>
      <c r="D166" s="91"/>
      <c r="E166" s="91"/>
      <c r="F166" s="91"/>
      <c r="G166" s="43"/>
      <c r="H166" s="30"/>
      <c r="I166" s="30"/>
      <c r="O166" s="100"/>
      <c r="R166" s="124"/>
    </row>
    <row r="167" spans="1:18">
      <c r="B167" s="11" t="s">
        <v>176</v>
      </c>
      <c r="C167" s="91"/>
      <c r="D167" s="91"/>
      <c r="E167" s="91"/>
      <c r="F167" s="91"/>
      <c r="H167" s="40">
        <f t="shared" ref="H167" si="86">IF(C167="&lt;",D167*0.7,D167*1)</f>
        <v>0</v>
      </c>
      <c r="I167" s="40">
        <f t="shared" ref="I167" si="87">IF(E167="&lt;",F167*0.7,F167*1)</f>
        <v>0</v>
      </c>
      <c r="J167" s="12">
        <f t="shared" ref="J167" si="88">IF(D167+F167&gt;0,1,0)</f>
        <v>0</v>
      </c>
      <c r="K167" s="92">
        <f>IF(H167*I167&gt;0,2,1)</f>
        <v>1</v>
      </c>
      <c r="L167" s="96">
        <f>(H167+I167)/K167</f>
        <v>0</v>
      </c>
      <c r="N167" s="92">
        <f t="shared" ref="N167" si="89">IF(D167+F167&gt;0,1,0)</f>
        <v>0</v>
      </c>
      <c r="O167" s="100"/>
      <c r="R167" s="124"/>
    </row>
    <row r="168" spans="1:18">
      <c r="C168" s="91"/>
      <c r="D168" s="91"/>
      <c r="E168" s="91"/>
      <c r="F168" s="91"/>
      <c r="H168" s="12"/>
      <c r="I168" s="12"/>
      <c r="O168" s="100"/>
      <c r="R168" s="124"/>
    </row>
    <row r="169" spans="1:18">
      <c r="A169" s="10" t="s">
        <v>72</v>
      </c>
      <c r="B169" s="35" t="s">
        <v>113</v>
      </c>
      <c r="C169" s="91"/>
      <c r="D169" s="91"/>
      <c r="E169" s="91"/>
      <c r="F169" s="91"/>
      <c r="G169" s="43"/>
      <c r="H169" s="30"/>
      <c r="I169" s="30"/>
      <c r="O169" s="100"/>
      <c r="R169" s="124"/>
    </row>
    <row r="170" spans="1:18">
      <c r="B170" s="11" t="s">
        <v>114</v>
      </c>
      <c r="C170" s="91"/>
      <c r="D170" s="91"/>
      <c r="E170" s="91"/>
      <c r="F170" s="91"/>
      <c r="H170" s="40">
        <f t="shared" ref="H170:H173" si="90">IF(C170="&lt;",D170*0.7,D170*1)</f>
        <v>0</v>
      </c>
      <c r="I170" s="40">
        <f t="shared" ref="I170:I173" si="91">IF(E170="&lt;",F170*0.7,F170*1)</f>
        <v>0</v>
      </c>
      <c r="J170" s="12">
        <f t="shared" ref="J170:J173" si="92">IF(D170+F170&gt;0,1,0)</f>
        <v>0</v>
      </c>
      <c r="K170" s="92">
        <f>IF(H170*I170&gt;0,2,1)</f>
        <v>1</v>
      </c>
      <c r="L170" s="96">
        <f>(H170+I170)/K170</f>
        <v>0</v>
      </c>
      <c r="N170" s="92">
        <f t="shared" ref="N170:N173" si="93">IF(D170+F170&gt;0,1,0)</f>
        <v>0</v>
      </c>
      <c r="O170" s="100"/>
      <c r="R170" s="124"/>
    </row>
    <row r="171" spans="1:18">
      <c r="B171" s="11" t="s">
        <v>115</v>
      </c>
      <c r="C171" s="91"/>
      <c r="D171" s="91"/>
      <c r="E171" s="91"/>
      <c r="F171" s="91"/>
      <c r="H171" s="40">
        <f t="shared" si="90"/>
        <v>0</v>
      </c>
      <c r="I171" s="40">
        <f t="shared" si="91"/>
        <v>0</v>
      </c>
      <c r="J171" s="12">
        <f t="shared" si="92"/>
        <v>0</v>
      </c>
      <c r="K171" s="92">
        <f>IF(H171*I171&gt;0,2,1)</f>
        <v>1</v>
      </c>
      <c r="L171" s="96">
        <f>(H171+I171)/K171</f>
        <v>0</v>
      </c>
      <c r="N171" s="92">
        <f t="shared" si="93"/>
        <v>0</v>
      </c>
      <c r="O171" s="100"/>
      <c r="R171" s="124">
        <v>4.0000000000000001E-3</v>
      </c>
    </row>
    <row r="172" spans="1:18">
      <c r="B172" s="11" t="s">
        <v>187</v>
      </c>
      <c r="C172" s="91"/>
      <c r="D172" s="91"/>
      <c r="E172" s="91"/>
      <c r="F172" s="91"/>
      <c r="H172" s="40">
        <f t="shared" si="90"/>
        <v>0</v>
      </c>
      <c r="I172" s="40">
        <f t="shared" si="91"/>
        <v>0</v>
      </c>
      <c r="J172" s="12">
        <f t="shared" si="92"/>
        <v>0</v>
      </c>
      <c r="K172" s="92">
        <f>IF(H172*I172&gt;0,2,1)</f>
        <v>1</v>
      </c>
      <c r="L172" s="96">
        <f>(H172+I172)/K172</f>
        <v>0</v>
      </c>
      <c r="N172" s="92">
        <f t="shared" si="93"/>
        <v>0</v>
      </c>
      <c r="O172" s="100"/>
      <c r="R172" s="124"/>
    </row>
    <row r="173" spans="1:18">
      <c r="B173" s="11" t="s">
        <v>257</v>
      </c>
      <c r="C173" s="91"/>
      <c r="D173" s="91"/>
      <c r="E173" s="91"/>
      <c r="F173" s="91"/>
      <c r="H173" s="40">
        <f t="shared" si="90"/>
        <v>0</v>
      </c>
      <c r="I173" s="40">
        <f t="shared" si="91"/>
        <v>0</v>
      </c>
      <c r="J173" s="12">
        <f t="shared" si="92"/>
        <v>0</v>
      </c>
      <c r="K173" s="92">
        <f>IF(H173*I173&gt;0,2,1)</f>
        <v>1</v>
      </c>
      <c r="L173" s="96">
        <f>(H173+I173)/K173</f>
        <v>0</v>
      </c>
      <c r="N173" s="92">
        <f t="shared" si="93"/>
        <v>0</v>
      </c>
      <c r="O173" s="100"/>
      <c r="R173" s="124"/>
    </row>
    <row r="174" spans="1:18">
      <c r="C174" s="91"/>
      <c r="D174" s="91"/>
      <c r="E174" s="91"/>
      <c r="F174" s="91"/>
      <c r="H174" s="12"/>
      <c r="I174" s="12"/>
      <c r="O174" s="100"/>
      <c r="R174" s="124"/>
    </row>
    <row r="175" spans="1:18">
      <c r="A175" s="10" t="s">
        <v>76</v>
      </c>
      <c r="B175" s="35" t="s">
        <v>116</v>
      </c>
      <c r="C175" s="91"/>
      <c r="D175" s="91"/>
      <c r="E175" s="91"/>
      <c r="F175" s="91"/>
      <c r="G175" s="43"/>
      <c r="H175" s="30"/>
      <c r="I175" s="30"/>
      <c r="O175" s="100"/>
      <c r="R175" s="124"/>
    </row>
    <row r="176" spans="1:18">
      <c r="B176" s="11" t="s">
        <v>117</v>
      </c>
      <c r="C176" s="91"/>
      <c r="D176" s="91"/>
      <c r="E176" s="91"/>
      <c r="F176" s="91"/>
      <c r="H176" s="40">
        <f t="shared" ref="H176" si="94">IF(C176="&lt;",D176*0.7,D176*1)</f>
        <v>0</v>
      </c>
      <c r="I176" s="40">
        <f t="shared" ref="I176" si="95">IF(E176="&lt;",F176*0.7,F176*1)</f>
        <v>0</v>
      </c>
      <c r="J176" s="12">
        <f t="shared" ref="J176" si="96">IF(D176+F176&gt;0,1,0)</f>
        <v>0</v>
      </c>
      <c r="K176" s="92">
        <f>IF(H176*I176&gt;0,2,1)</f>
        <v>1</v>
      </c>
      <c r="L176" s="96">
        <f>(H176+I176)/K176</f>
        <v>0</v>
      </c>
      <c r="N176" s="92">
        <f t="shared" ref="N176" si="97">IF(D176+F176&gt;0,1,0)</f>
        <v>0</v>
      </c>
      <c r="O176" s="100"/>
      <c r="R176" s="124"/>
    </row>
    <row r="177" spans="1:18">
      <c r="C177" s="91"/>
      <c r="D177" s="91"/>
      <c r="E177" s="91"/>
      <c r="F177" s="91"/>
      <c r="H177" s="12"/>
      <c r="I177" s="12"/>
      <c r="O177" s="100"/>
      <c r="R177" s="124"/>
    </row>
    <row r="178" spans="1:18">
      <c r="A178" s="10" t="s">
        <v>86</v>
      </c>
      <c r="B178" s="35" t="s">
        <v>118</v>
      </c>
      <c r="C178" s="91"/>
      <c r="D178" s="91"/>
      <c r="E178" s="91"/>
      <c r="F178" s="91"/>
      <c r="G178" s="43"/>
      <c r="H178" s="30"/>
      <c r="I178" s="30"/>
      <c r="O178" s="100"/>
      <c r="R178" s="124"/>
    </row>
    <row r="179" spans="1:18">
      <c r="B179" s="11" t="s">
        <v>119</v>
      </c>
      <c r="C179" s="91"/>
      <c r="D179" s="91"/>
      <c r="E179" s="91"/>
      <c r="F179" s="91"/>
      <c r="H179" s="40">
        <f t="shared" ref="H179:H183" si="98">IF(C179="&lt;",D179*0.7,D179*1)</f>
        <v>0</v>
      </c>
      <c r="I179" s="40">
        <f t="shared" ref="I179:I183" si="99">IF(E179="&lt;",F179*0.7,F179*1)</f>
        <v>0</v>
      </c>
      <c r="J179" s="12">
        <f t="shared" ref="J179:J183" si="100">IF(D179+F179&gt;0,1,0)</f>
        <v>0</v>
      </c>
      <c r="K179" s="92">
        <f>IF(H179*I179&gt;0,2,1)</f>
        <v>1</v>
      </c>
      <c r="L179" s="96">
        <f>(H179+I179)/K179</f>
        <v>0</v>
      </c>
      <c r="N179" s="92">
        <f t="shared" ref="N179:N183" si="101">IF(D179+F179&gt;0,1,0)</f>
        <v>0</v>
      </c>
      <c r="O179" s="100"/>
      <c r="R179" s="124"/>
    </row>
    <row r="180" spans="1:18">
      <c r="B180" s="11" t="s">
        <v>120</v>
      </c>
      <c r="C180" s="91"/>
      <c r="D180" s="91"/>
      <c r="E180" s="91"/>
      <c r="F180" s="91"/>
      <c r="H180" s="40">
        <f t="shared" si="98"/>
        <v>0</v>
      </c>
      <c r="I180" s="40">
        <f t="shared" si="99"/>
        <v>0</v>
      </c>
      <c r="J180" s="12">
        <f t="shared" si="100"/>
        <v>0</v>
      </c>
      <c r="K180" s="92">
        <f>IF(H180*I180&gt;0,2,1)</f>
        <v>1</v>
      </c>
      <c r="L180" s="96">
        <f>(H180+I180)/K180</f>
        <v>0</v>
      </c>
      <c r="N180" s="92">
        <f t="shared" si="101"/>
        <v>0</v>
      </c>
      <c r="O180" s="100"/>
      <c r="R180" s="124"/>
    </row>
    <row r="181" spans="1:18">
      <c r="B181" s="11" t="s">
        <v>121</v>
      </c>
      <c r="C181" s="91"/>
      <c r="D181" s="91"/>
      <c r="E181" s="91"/>
      <c r="F181" s="91"/>
      <c r="H181" s="40">
        <f t="shared" si="98"/>
        <v>0</v>
      </c>
      <c r="I181" s="40">
        <f t="shared" si="99"/>
        <v>0</v>
      </c>
      <c r="J181" s="12">
        <f t="shared" si="100"/>
        <v>0</v>
      </c>
      <c r="K181" s="92">
        <f>IF(H181*I181&gt;0,2,1)</f>
        <v>1</v>
      </c>
      <c r="L181" s="96">
        <f>(H181+I181)/K181</f>
        <v>0</v>
      </c>
      <c r="N181" s="92">
        <f t="shared" si="101"/>
        <v>0</v>
      </c>
      <c r="O181" s="100"/>
      <c r="R181" s="124"/>
    </row>
    <row r="182" spans="1:18">
      <c r="B182" s="11" t="s">
        <v>122</v>
      </c>
      <c r="C182" s="91"/>
      <c r="D182" s="91"/>
      <c r="E182" s="91"/>
      <c r="F182" s="91"/>
      <c r="H182" s="40">
        <f t="shared" si="98"/>
        <v>0</v>
      </c>
      <c r="I182" s="40">
        <f t="shared" si="99"/>
        <v>0</v>
      </c>
      <c r="J182" s="12">
        <f t="shared" si="100"/>
        <v>0</v>
      </c>
      <c r="K182" s="92">
        <f>IF(H182*I182&gt;0,2,1)</f>
        <v>1</v>
      </c>
      <c r="L182" s="96">
        <f>(H182+I182)/K182</f>
        <v>0</v>
      </c>
      <c r="N182" s="92">
        <f t="shared" si="101"/>
        <v>0</v>
      </c>
      <c r="O182" s="100"/>
      <c r="R182" s="124"/>
    </row>
    <row r="183" spans="1:18">
      <c r="B183" s="11" t="s">
        <v>402</v>
      </c>
      <c r="C183" s="91"/>
      <c r="D183" s="91"/>
      <c r="E183" s="91"/>
      <c r="F183" s="91"/>
      <c r="H183" s="40">
        <f t="shared" si="98"/>
        <v>0</v>
      </c>
      <c r="I183" s="40">
        <f t="shared" si="99"/>
        <v>0</v>
      </c>
      <c r="J183" s="12">
        <f t="shared" si="100"/>
        <v>0</v>
      </c>
      <c r="K183" s="92">
        <f>IF(H183*I183&gt;0,2,1)</f>
        <v>1</v>
      </c>
      <c r="L183" s="96">
        <f>(H183+I183)/K183</f>
        <v>0</v>
      </c>
      <c r="N183" s="92">
        <f t="shared" si="101"/>
        <v>0</v>
      </c>
      <c r="O183" s="100"/>
      <c r="R183" s="124"/>
    </row>
    <row r="184" spans="1:18">
      <c r="C184" s="91"/>
      <c r="D184" s="91"/>
      <c r="E184" s="91"/>
      <c r="F184" s="91"/>
      <c r="H184" s="12"/>
      <c r="I184" s="12"/>
      <c r="O184" s="100"/>
      <c r="R184" s="124" t="s">
        <v>278</v>
      </c>
    </row>
    <row r="185" spans="1:18">
      <c r="A185" s="32">
        <v>7</v>
      </c>
      <c r="B185" s="41" t="s">
        <v>123</v>
      </c>
      <c r="C185" s="91"/>
      <c r="D185" s="91"/>
      <c r="E185" s="91"/>
      <c r="F185" s="91"/>
      <c r="H185" s="33" t="s">
        <v>5</v>
      </c>
      <c r="I185" s="33" t="s">
        <v>5</v>
      </c>
      <c r="O185" s="100"/>
      <c r="R185" s="125" t="s">
        <v>5</v>
      </c>
    </row>
    <row r="186" spans="1:18">
      <c r="B186" s="11" t="s">
        <v>124</v>
      </c>
      <c r="C186" s="91"/>
      <c r="D186" s="91"/>
      <c r="E186" s="421"/>
      <c r="F186" s="91"/>
      <c r="H186" s="40">
        <f t="shared" ref="H186:H211" si="102">IF(C186="&lt;",D186*0.7,D186*1)</f>
        <v>0</v>
      </c>
      <c r="I186" s="40">
        <f t="shared" ref="I186:I211" si="103">IF(E186="&lt;",F186*0.7,F186*1)</f>
        <v>0</v>
      </c>
      <c r="J186" s="12">
        <f t="shared" ref="J186:J211" si="104">IF(D186+F186&gt;0,1,0)</f>
        <v>0</v>
      </c>
      <c r="K186" s="92">
        <f t="shared" ref="K186:K211" si="105">IF(H186*I186&gt;0,2,1)</f>
        <v>1</v>
      </c>
      <c r="L186" s="96">
        <f t="shared" ref="L186:L211" si="106">(H186+I186)/K186</f>
        <v>0</v>
      </c>
      <c r="N186" s="92">
        <f t="shared" ref="N186:N211" si="107">IF(D186+F186&gt;0,1,0)</f>
        <v>0</v>
      </c>
      <c r="O186" s="100"/>
      <c r="R186" s="124"/>
    </row>
    <row r="187" spans="1:18">
      <c r="B187" s="11" t="s">
        <v>125</v>
      </c>
      <c r="C187" s="91"/>
      <c r="D187" s="91"/>
      <c r="E187" s="91"/>
      <c r="F187" s="91"/>
      <c r="H187" s="40">
        <f t="shared" si="102"/>
        <v>0</v>
      </c>
      <c r="I187" s="40">
        <f t="shared" si="103"/>
        <v>0</v>
      </c>
      <c r="J187" s="12">
        <f t="shared" si="104"/>
        <v>0</v>
      </c>
      <c r="K187" s="92">
        <f t="shared" si="105"/>
        <v>1</v>
      </c>
      <c r="L187" s="96">
        <f t="shared" si="106"/>
        <v>0</v>
      </c>
      <c r="N187" s="92">
        <f t="shared" si="107"/>
        <v>0</v>
      </c>
      <c r="O187" s="100"/>
      <c r="R187" s="124"/>
    </row>
    <row r="188" spans="1:18">
      <c r="B188" s="11" t="s">
        <v>126</v>
      </c>
      <c r="C188" s="91"/>
      <c r="D188" s="91"/>
      <c r="E188" s="91"/>
      <c r="F188" s="91"/>
      <c r="H188" s="40">
        <f t="shared" si="102"/>
        <v>0</v>
      </c>
      <c r="I188" s="40">
        <f t="shared" si="103"/>
        <v>0</v>
      </c>
      <c r="J188" s="12">
        <f t="shared" si="104"/>
        <v>0</v>
      </c>
      <c r="K188" s="92">
        <f t="shared" si="105"/>
        <v>1</v>
      </c>
      <c r="L188" s="96">
        <f t="shared" si="106"/>
        <v>0</v>
      </c>
      <c r="N188" s="92">
        <f t="shared" si="107"/>
        <v>0</v>
      </c>
      <c r="O188" s="100"/>
      <c r="R188" s="124"/>
    </row>
    <row r="189" spans="1:18">
      <c r="B189" s="11" t="s">
        <v>127</v>
      </c>
      <c r="C189" s="91"/>
      <c r="D189" s="91"/>
      <c r="E189" s="91"/>
      <c r="F189" s="91"/>
      <c r="H189" s="40">
        <f t="shared" si="102"/>
        <v>0</v>
      </c>
      <c r="I189" s="40">
        <f t="shared" si="103"/>
        <v>0</v>
      </c>
      <c r="J189" s="12">
        <f t="shared" si="104"/>
        <v>0</v>
      </c>
      <c r="K189" s="92">
        <f t="shared" si="105"/>
        <v>1</v>
      </c>
      <c r="L189" s="96">
        <f t="shared" si="106"/>
        <v>0</v>
      </c>
      <c r="N189" s="92">
        <f t="shared" si="107"/>
        <v>0</v>
      </c>
      <c r="O189" s="100"/>
      <c r="R189" s="124"/>
    </row>
    <row r="190" spans="1:18">
      <c r="B190" s="11" t="s">
        <v>128</v>
      </c>
      <c r="C190" s="91"/>
      <c r="D190" s="91"/>
      <c r="E190" s="91"/>
      <c r="F190" s="91"/>
      <c r="H190" s="40">
        <f t="shared" si="102"/>
        <v>0</v>
      </c>
      <c r="I190" s="40">
        <f t="shared" si="103"/>
        <v>0</v>
      </c>
      <c r="J190" s="12">
        <f t="shared" si="104"/>
        <v>0</v>
      </c>
      <c r="K190" s="92">
        <f t="shared" si="105"/>
        <v>1</v>
      </c>
      <c r="L190" s="96">
        <f t="shared" si="106"/>
        <v>0</v>
      </c>
      <c r="N190" s="92">
        <f t="shared" si="107"/>
        <v>0</v>
      </c>
      <c r="O190" s="100"/>
      <c r="R190" s="124"/>
    </row>
    <row r="191" spans="1:18">
      <c r="B191" s="11" t="s">
        <v>129</v>
      </c>
      <c r="C191" s="91"/>
      <c r="D191" s="91"/>
      <c r="E191" s="91"/>
      <c r="F191" s="91"/>
      <c r="H191" s="40">
        <f t="shared" si="102"/>
        <v>0</v>
      </c>
      <c r="I191" s="40">
        <f t="shared" si="103"/>
        <v>0</v>
      </c>
      <c r="J191" s="12">
        <f t="shared" si="104"/>
        <v>0</v>
      </c>
      <c r="K191" s="92">
        <f t="shared" si="105"/>
        <v>1</v>
      </c>
      <c r="L191" s="96">
        <f t="shared" si="106"/>
        <v>0</v>
      </c>
      <c r="N191" s="92">
        <f t="shared" si="107"/>
        <v>0</v>
      </c>
      <c r="O191" s="100"/>
      <c r="R191" s="124"/>
    </row>
    <row r="192" spans="1:18">
      <c r="B192" s="11" t="s">
        <v>130</v>
      </c>
      <c r="C192" s="91"/>
      <c r="D192" s="91"/>
      <c r="E192" s="91"/>
      <c r="F192" s="91"/>
      <c r="H192" s="40">
        <f t="shared" si="102"/>
        <v>0</v>
      </c>
      <c r="I192" s="40">
        <f t="shared" si="103"/>
        <v>0</v>
      </c>
      <c r="J192" s="12">
        <f t="shared" si="104"/>
        <v>0</v>
      </c>
      <c r="K192" s="92">
        <f t="shared" si="105"/>
        <v>1</v>
      </c>
      <c r="L192" s="96">
        <f t="shared" si="106"/>
        <v>0</v>
      </c>
      <c r="N192" s="92">
        <f t="shared" si="107"/>
        <v>0</v>
      </c>
      <c r="O192" s="100"/>
      <c r="R192" s="124"/>
    </row>
    <row r="193" spans="2:18">
      <c r="B193" s="11" t="s">
        <v>131</v>
      </c>
      <c r="C193" s="91"/>
      <c r="D193" s="91"/>
      <c r="E193" s="91"/>
      <c r="F193" s="91"/>
      <c r="H193" s="40">
        <f t="shared" si="102"/>
        <v>0</v>
      </c>
      <c r="I193" s="40">
        <f t="shared" si="103"/>
        <v>0</v>
      </c>
      <c r="J193" s="12">
        <f t="shared" si="104"/>
        <v>0</v>
      </c>
      <c r="K193" s="92">
        <f t="shared" si="105"/>
        <v>1</v>
      </c>
      <c r="L193" s="96">
        <f t="shared" si="106"/>
        <v>0</v>
      </c>
      <c r="N193" s="92">
        <f t="shared" si="107"/>
        <v>0</v>
      </c>
      <c r="O193" s="100"/>
      <c r="R193" s="124"/>
    </row>
    <row r="194" spans="2:18">
      <c r="B194" s="11" t="s">
        <v>132</v>
      </c>
      <c r="C194" s="91"/>
      <c r="D194" s="91"/>
      <c r="E194" s="91"/>
      <c r="F194" s="91"/>
      <c r="H194" s="40">
        <f t="shared" si="102"/>
        <v>0</v>
      </c>
      <c r="I194" s="40">
        <f t="shared" si="103"/>
        <v>0</v>
      </c>
      <c r="J194" s="12">
        <f t="shared" si="104"/>
        <v>0</v>
      </c>
      <c r="K194" s="92">
        <f t="shared" si="105"/>
        <v>1</v>
      </c>
      <c r="L194" s="96">
        <f t="shared" si="106"/>
        <v>0</v>
      </c>
      <c r="N194" s="92">
        <f t="shared" si="107"/>
        <v>0</v>
      </c>
      <c r="O194" s="100"/>
      <c r="R194" s="124"/>
    </row>
    <row r="195" spans="2:18">
      <c r="B195" s="11" t="s">
        <v>216</v>
      </c>
      <c r="C195" s="91"/>
      <c r="D195" s="91"/>
      <c r="E195" s="91"/>
      <c r="F195" s="91"/>
      <c r="H195" s="40">
        <f t="shared" si="102"/>
        <v>0</v>
      </c>
      <c r="I195" s="40">
        <f t="shared" si="103"/>
        <v>0</v>
      </c>
      <c r="J195" s="12">
        <f t="shared" si="104"/>
        <v>0</v>
      </c>
      <c r="K195" s="92">
        <f t="shared" si="105"/>
        <v>1</v>
      </c>
      <c r="L195" s="96">
        <f t="shared" si="106"/>
        <v>0</v>
      </c>
      <c r="N195" s="92">
        <f t="shared" si="107"/>
        <v>0</v>
      </c>
      <c r="O195" s="100"/>
      <c r="R195" s="124"/>
    </row>
    <row r="196" spans="2:18">
      <c r="B196" s="11" t="s">
        <v>133</v>
      </c>
      <c r="C196" s="421"/>
      <c r="D196" s="91"/>
      <c r="E196" s="91"/>
      <c r="F196" s="91"/>
      <c r="H196" s="40">
        <f t="shared" si="102"/>
        <v>0</v>
      </c>
      <c r="I196" s="40">
        <f t="shared" si="103"/>
        <v>0</v>
      </c>
      <c r="J196" s="12">
        <f t="shared" si="104"/>
        <v>0</v>
      </c>
      <c r="K196" s="92">
        <f t="shared" si="105"/>
        <v>1</v>
      </c>
      <c r="L196" s="96">
        <f t="shared" si="106"/>
        <v>0</v>
      </c>
      <c r="N196" s="92">
        <f t="shared" si="107"/>
        <v>0</v>
      </c>
      <c r="O196" s="104">
        <v>1</v>
      </c>
      <c r="P196" s="103"/>
      <c r="R196" s="124">
        <v>35</v>
      </c>
    </row>
    <row r="197" spans="2:18">
      <c r="B197" s="11" t="s">
        <v>134</v>
      </c>
      <c r="C197" s="419"/>
      <c r="D197" s="419"/>
      <c r="E197" s="419"/>
      <c r="F197" s="419"/>
      <c r="H197" s="40">
        <f t="shared" si="102"/>
        <v>0</v>
      </c>
      <c r="I197" s="40">
        <f t="shared" si="103"/>
        <v>0</v>
      </c>
      <c r="J197" s="12">
        <f t="shared" si="104"/>
        <v>0</v>
      </c>
      <c r="K197" s="92">
        <f t="shared" si="105"/>
        <v>1</v>
      </c>
      <c r="L197" s="96">
        <f t="shared" si="106"/>
        <v>0</v>
      </c>
      <c r="N197" s="92">
        <f t="shared" si="107"/>
        <v>0</v>
      </c>
      <c r="O197" s="100"/>
      <c r="R197" s="124"/>
    </row>
    <row r="198" spans="2:18">
      <c r="B198" s="11" t="s">
        <v>135</v>
      </c>
      <c r="C198" s="419"/>
      <c r="D198" s="419"/>
      <c r="E198" s="419"/>
      <c r="F198" s="419"/>
      <c r="H198" s="40">
        <f t="shared" si="102"/>
        <v>0</v>
      </c>
      <c r="I198" s="40">
        <f t="shared" si="103"/>
        <v>0</v>
      </c>
      <c r="J198" s="12">
        <f t="shared" si="104"/>
        <v>0</v>
      </c>
      <c r="K198" s="92">
        <f t="shared" si="105"/>
        <v>1</v>
      </c>
      <c r="L198" s="96">
        <f t="shared" si="106"/>
        <v>0</v>
      </c>
      <c r="N198" s="92">
        <f t="shared" si="107"/>
        <v>0</v>
      </c>
      <c r="O198" s="100"/>
      <c r="R198" s="124"/>
    </row>
    <row r="199" spans="2:18">
      <c r="B199" s="11" t="s">
        <v>136</v>
      </c>
      <c r="C199" s="419"/>
      <c r="D199" s="419"/>
      <c r="E199" s="419"/>
      <c r="F199" s="419"/>
      <c r="H199" s="40">
        <f t="shared" si="102"/>
        <v>0</v>
      </c>
      <c r="I199" s="40">
        <f t="shared" si="103"/>
        <v>0</v>
      </c>
      <c r="J199" s="12">
        <f t="shared" si="104"/>
        <v>0</v>
      </c>
      <c r="K199" s="92">
        <f t="shared" si="105"/>
        <v>1</v>
      </c>
      <c r="L199" s="96">
        <f t="shared" si="106"/>
        <v>0</v>
      </c>
      <c r="N199" s="92">
        <f t="shared" si="107"/>
        <v>0</v>
      </c>
      <c r="O199" s="100"/>
      <c r="R199" s="124"/>
    </row>
    <row r="200" spans="2:18">
      <c r="B200" s="11" t="s">
        <v>137</v>
      </c>
      <c r="C200" s="419"/>
      <c r="D200" s="419"/>
      <c r="E200" s="419"/>
      <c r="F200" s="419"/>
      <c r="H200" s="40">
        <f t="shared" si="102"/>
        <v>0</v>
      </c>
      <c r="I200" s="40">
        <f t="shared" si="103"/>
        <v>0</v>
      </c>
      <c r="J200" s="12">
        <f t="shared" si="104"/>
        <v>0</v>
      </c>
      <c r="K200" s="92">
        <f t="shared" si="105"/>
        <v>1</v>
      </c>
      <c r="L200" s="96">
        <f t="shared" si="106"/>
        <v>0</v>
      </c>
      <c r="N200" s="92">
        <f t="shared" si="107"/>
        <v>0</v>
      </c>
      <c r="O200" s="100"/>
      <c r="R200" s="124">
        <v>0.1</v>
      </c>
    </row>
    <row r="201" spans="2:18">
      <c r="B201" s="11" t="s">
        <v>138</v>
      </c>
      <c r="C201" s="419"/>
      <c r="D201" s="419"/>
      <c r="E201" s="419"/>
      <c r="F201" s="419"/>
      <c r="H201" s="40">
        <f t="shared" si="102"/>
        <v>0</v>
      </c>
      <c r="I201" s="40">
        <f t="shared" si="103"/>
        <v>0</v>
      </c>
      <c r="J201" s="12">
        <f t="shared" si="104"/>
        <v>0</v>
      </c>
      <c r="K201" s="92">
        <f t="shared" si="105"/>
        <v>1</v>
      </c>
      <c r="L201" s="96">
        <f t="shared" si="106"/>
        <v>0</v>
      </c>
      <c r="N201" s="92">
        <f t="shared" si="107"/>
        <v>0</v>
      </c>
      <c r="O201" s="100"/>
      <c r="R201" s="124"/>
    </row>
    <row r="202" spans="2:18">
      <c r="B202" s="11" t="s">
        <v>177</v>
      </c>
      <c r="C202" s="419"/>
      <c r="D202" s="419"/>
      <c r="E202" s="419"/>
      <c r="F202" s="419"/>
      <c r="H202" s="40">
        <f t="shared" si="102"/>
        <v>0</v>
      </c>
      <c r="I202" s="40">
        <f t="shared" si="103"/>
        <v>0</v>
      </c>
      <c r="J202" s="12">
        <f t="shared" si="104"/>
        <v>0</v>
      </c>
      <c r="K202" s="92">
        <f t="shared" si="105"/>
        <v>1</v>
      </c>
      <c r="L202" s="96">
        <f t="shared" si="106"/>
        <v>0</v>
      </c>
      <c r="N202" s="92">
        <f t="shared" si="107"/>
        <v>0</v>
      </c>
      <c r="O202" s="100"/>
      <c r="R202" s="124"/>
    </row>
    <row r="203" spans="2:18">
      <c r="B203" s="11" t="s">
        <v>139</v>
      </c>
      <c r="C203" s="419"/>
      <c r="D203" s="419"/>
      <c r="E203" s="419"/>
      <c r="F203" s="419"/>
      <c r="H203" s="40">
        <f t="shared" si="102"/>
        <v>0</v>
      </c>
      <c r="I203" s="40">
        <f t="shared" si="103"/>
        <v>0</v>
      </c>
      <c r="J203" s="12">
        <f t="shared" si="104"/>
        <v>0</v>
      </c>
      <c r="K203" s="92">
        <f t="shared" si="105"/>
        <v>1</v>
      </c>
      <c r="L203" s="96">
        <f t="shared" si="106"/>
        <v>0</v>
      </c>
      <c r="N203" s="92">
        <f t="shared" si="107"/>
        <v>0</v>
      </c>
      <c r="O203" s="100"/>
      <c r="R203" s="124"/>
    </row>
    <row r="204" spans="2:18">
      <c r="B204" s="11" t="s">
        <v>140</v>
      </c>
      <c r="C204" s="419"/>
      <c r="D204" s="419"/>
      <c r="E204" s="419"/>
      <c r="F204" s="419"/>
      <c r="H204" s="40">
        <f t="shared" si="102"/>
        <v>0</v>
      </c>
      <c r="I204" s="40">
        <f t="shared" si="103"/>
        <v>0</v>
      </c>
      <c r="J204" s="12">
        <f t="shared" si="104"/>
        <v>0</v>
      </c>
      <c r="K204" s="92">
        <f t="shared" si="105"/>
        <v>1</v>
      </c>
      <c r="L204" s="96">
        <f t="shared" si="106"/>
        <v>0</v>
      </c>
      <c r="N204" s="92">
        <f t="shared" si="107"/>
        <v>0</v>
      </c>
      <c r="O204" s="100"/>
      <c r="R204" s="124"/>
    </row>
    <row r="205" spans="2:18">
      <c r="B205" s="11" t="s">
        <v>141</v>
      </c>
      <c r="C205" s="419"/>
      <c r="D205" s="419"/>
      <c r="E205" s="419"/>
      <c r="F205" s="419"/>
      <c r="H205" s="40">
        <f t="shared" si="102"/>
        <v>0</v>
      </c>
      <c r="I205" s="40">
        <f t="shared" si="103"/>
        <v>0</v>
      </c>
      <c r="J205" s="12">
        <f t="shared" si="104"/>
        <v>0</v>
      </c>
      <c r="K205" s="92">
        <f t="shared" si="105"/>
        <v>1</v>
      </c>
      <c r="L205" s="96">
        <f t="shared" si="106"/>
        <v>0</v>
      </c>
      <c r="N205" s="92">
        <f t="shared" si="107"/>
        <v>0</v>
      </c>
      <c r="O205" s="100"/>
      <c r="R205" s="124"/>
    </row>
    <row r="206" spans="2:18">
      <c r="B206" s="11" t="s">
        <v>142</v>
      </c>
      <c r="C206" s="419"/>
      <c r="D206" s="419"/>
      <c r="E206" s="419"/>
      <c r="F206" s="419"/>
      <c r="H206" s="40">
        <f t="shared" si="102"/>
        <v>0</v>
      </c>
      <c r="I206" s="40">
        <f t="shared" si="103"/>
        <v>0</v>
      </c>
      <c r="J206" s="12">
        <f t="shared" si="104"/>
        <v>0</v>
      </c>
      <c r="K206" s="92">
        <f t="shared" si="105"/>
        <v>1</v>
      </c>
      <c r="L206" s="96">
        <f t="shared" si="106"/>
        <v>0</v>
      </c>
      <c r="N206" s="92">
        <f t="shared" si="107"/>
        <v>0</v>
      </c>
      <c r="O206" s="100"/>
      <c r="R206" s="124"/>
    </row>
    <row r="207" spans="2:18">
      <c r="B207" s="11" t="s">
        <v>143</v>
      </c>
      <c r="C207" s="419"/>
      <c r="D207" s="419"/>
      <c r="E207" s="419"/>
      <c r="F207" s="419"/>
      <c r="H207" s="40">
        <f t="shared" si="102"/>
        <v>0</v>
      </c>
      <c r="I207" s="40">
        <f t="shared" si="103"/>
        <v>0</v>
      </c>
      <c r="J207" s="12">
        <f t="shared" si="104"/>
        <v>0</v>
      </c>
      <c r="K207" s="92">
        <f t="shared" si="105"/>
        <v>1</v>
      </c>
      <c r="L207" s="96">
        <f t="shared" si="106"/>
        <v>0</v>
      </c>
      <c r="N207" s="92">
        <f t="shared" si="107"/>
        <v>0</v>
      </c>
      <c r="O207" s="100"/>
      <c r="R207" s="124"/>
    </row>
    <row r="208" spans="2:18">
      <c r="B208" s="11" t="s">
        <v>144</v>
      </c>
      <c r="C208" s="419"/>
      <c r="D208" s="419"/>
      <c r="E208" s="419"/>
      <c r="F208" s="419"/>
      <c r="H208" s="40">
        <f t="shared" si="102"/>
        <v>0</v>
      </c>
      <c r="I208" s="40">
        <f t="shared" si="103"/>
        <v>0</v>
      </c>
      <c r="J208" s="12">
        <f t="shared" si="104"/>
        <v>0</v>
      </c>
      <c r="K208" s="92">
        <f t="shared" si="105"/>
        <v>1</v>
      </c>
      <c r="L208" s="96">
        <f t="shared" si="106"/>
        <v>0</v>
      </c>
      <c r="N208" s="92">
        <f t="shared" si="107"/>
        <v>0</v>
      </c>
      <c r="O208" s="100"/>
      <c r="R208" s="124"/>
    </row>
    <row r="209" spans="1:18">
      <c r="B209" s="11" t="s">
        <v>145</v>
      </c>
      <c r="C209" s="419"/>
      <c r="D209" s="419"/>
      <c r="E209" s="419"/>
      <c r="F209" s="419"/>
      <c r="H209" s="40">
        <f t="shared" si="102"/>
        <v>0</v>
      </c>
      <c r="I209" s="40">
        <f t="shared" si="103"/>
        <v>0</v>
      </c>
      <c r="J209" s="12">
        <f t="shared" si="104"/>
        <v>0</v>
      </c>
      <c r="K209" s="92">
        <f t="shared" si="105"/>
        <v>1</v>
      </c>
      <c r="L209" s="96">
        <f t="shared" si="106"/>
        <v>0</v>
      </c>
      <c r="N209" s="92">
        <f t="shared" si="107"/>
        <v>0</v>
      </c>
      <c r="O209" s="100"/>
      <c r="R209" s="124"/>
    </row>
    <row r="210" spans="1:18">
      <c r="B210" s="11" t="s">
        <v>146</v>
      </c>
      <c r="C210" s="419"/>
      <c r="D210" s="419"/>
      <c r="E210" s="419"/>
      <c r="F210" s="419"/>
      <c r="H210" s="40">
        <f t="shared" si="102"/>
        <v>0</v>
      </c>
      <c r="I210" s="40">
        <f t="shared" si="103"/>
        <v>0</v>
      </c>
      <c r="J210" s="12">
        <f t="shared" si="104"/>
        <v>0</v>
      </c>
      <c r="K210" s="92">
        <f t="shared" si="105"/>
        <v>1</v>
      </c>
      <c r="L210" s="96">
        <f t="shared" si="106"/>
        <v>0</v>
      </c>
      <c r="N210" s="92">
        <f t="shared" si="107"/>
        <v>0</v>
      </c>
      <c r="O210" s="100"/>
      <c r="R210" s="124">
        <v>0.1</v>
      </c>
    </row>
    <row r="211" spans="1:18">
      <c r="B211" s="11" t="s">
        <v>147</v>
      </c>
      <c r="C211" s="419"/>
      <c r="D211" s="419"/>
      <c r="E211" s="419"/>
      <c r="F211" s="419"/>
      <c r="H211" s="40">
        <f t="shared" si="102"/>
        <v>0</v>
      </c>
      <c r="I211" s="40">
        <f t="shared" si="103"/>
        <v>0</v>
      </c>
      <c r="J211" s="12">
        <f t="shared" si="104"/>
        <v>0</v>
      </c>
      <c r="K211" s="92">
        <f t="shared" si="105"/>
        <v>1</v>
      </c>
      <c r="L211" s="96">
        <f t="shared" si="106"/>
        <v>0</v>
      </c>
      <c r="N211" s="92">
        <f t="shared" si="107"/>
        <v>0</v>
      </c>
      <c r="O211" s="100"/>
      <c r="R211" s="124"/>
    </row>
    <row r="212" spans="1:18">
      <c r="C212" s="419"/>
      <c r="D212" s="419"/>
      <c r="E212" s="419"/>
      <c r="F212" s="419"/>
      <c r="O212" s="100"/>
      <c r="R212" s="124"/>
    </row>
    <row r="213" spans="1:18">
      <c r="A213" s="32">
        <v>8</v>
      </c>
      <c r="B213" s="41" t="s">
        <v>248</v>
      </c>
      <c r="C213" s="380"/>
      <c r="D213" s="381"/>
      <c r="E213" s="380"/>
      <c r="F213" s="381"/>
      <c r="H213" s="33" t="s">
        <v>5</v>
      </c>
      <c r="I213" s="33" t="s">
        <v>5</v>
      </c>
      <c r="O213" s="100"/>
      <c r="R213" s="124"/>
    </row>
    <row r="214" spans="1:18">
      <c r="B214" s="11" t="s">
        <v>422</v>
      </c>
      <c r="C214" s="380"/>
      <c r="D214" s="381"/>
      <c r="E214" s="380"/>
      <c r="F214" s="381"/>
      <c r="H214" s="40">
        <f t="shared" ref="H214:H233" si="108">IF(C214="&lt;",D214*0.7,D214*1)</f>
        <v>0</v>
      </c>
      <c r="I214" s="40">
        <f t="shared" ref="I214:I233" si="109">IF(E214="&lt;",F214*0.7,F214*1)</f>
        <v>0</v>
      </c>
      <c r="J214" s="12">
        <f t="shared" ref="J214:J233" si="110">IF(D214+F214&gt;0,1,0)</f>
        <v>0</v>
      </c>
      <c r="K214" s="92">
        <f t="shared" ref="K214:K233" si="111">IF(H214*I214&gt;0,2,1)</f>
        <v>1</v>
      </c>
      <c r="L214" s="96">
        <f t="shared" ref="L214:L233" si="112">(H214+I214)/K214</f>
        <v>0</v>
      </c>
      <c r="O214" s="100">
        <v>1</v>
      </c>
      <c r="R214" s="124"/>
    </row>
    <row r="215" spans="1:18">
      <c r="B215" s="11" t="s">
        <v>423</v>
      </c>
      <c r="C215" s="380"/>
      <c r="D215" s="381"/>
      <c r="E215" s="380"/>
      <c r="F215" s="381"/>
      <c r="H215" s="40">
        <f t="shared" si="108"/>
        <v>0</v>
      </c>
      <c r="I215" s="40">
        <f t="shared" si="109"/>
        <v>0</v>
      </c>
      <c r="J215" s="12">
        <f t="shared" si="110"/>
        <v>0</v>
      </c>
      <c r="K215" s="92">
        <f t="shared" si="111"/>
        <v>1</v>
      </c>
      <c r="L215" s="96">
        <f t="shared" si="112"/>
        <v>0</v>
      </c>
      <c r="O215" s="100">
        <v>1</v>
      </c>
      <c r="R215" s="124"/>
    </row>
    <row r="216" spans="1:18">
      <c r="B216" s="11" t="s">
        <v>427</v>
      </c>
      <c r="C216" s="380"/>
      <c r="D216" s="383"/>
      <c r="E216" s="380"/>
      <c r="F216" s="381"/>
      <c r="H216" s="40">
        <f t="shared" si="108"/>
        <v>0</v>
      </c>
      <c r="I216" s="40">
        <f t="shared" si="109"/>
        <v>0</v>
      </c>
      <c r="J216" s="12">
        <f t="shared" si="110"/>
        <v>0</v>
      </c>
      <c r="K216" s="92">
        <f t="shared" si="111"/>
        <v>1</v>
      </c>
      <c r="L216" s="96">
        <f t="shared" si="112"/>
        <v>0</v>
      </c>
      <c r="O216" s="100"/>
      <c r="R216" s="124"/>
    </row>
    <row r="217" spans="1:18">
      <c r="B217" s="11" t="s">
        <v>249</v>
      </c>
      <c r="C217" s="380"/>
      <c r="D217" s="381"/>
      <c r="E217" s="380"/>
      <c r="F217" s="381"/>
      <c r="H217" s="40">
        <f t="shared" si="108"/>
        <v>0</v>
      </c>
      <c r="I217" s="40">
        <f t="shared" si="109"/>
        <v>0</v>
      </c>
      <c r="J217" s="12">
        <f t="shared" si="110"/>
        <v>0</v>
      </c>
      <c r="K217" s="92">
        <f t="shared" si="111"/>
        <v>1</v>
      </c>
      <c r="L217" s="96">
        <f t="shared" si="112"/>
        <v>0</v>
      </c>
      <c r="O217" s="100"/>
      <c r="R217" s="124"/>
    </row>
    <row r="218" spans="1:18">
      <c r="B218" s="11" t="s">
        <v>249</v>
      </c>
      <c r="C218" s="380"/>
      <c r="D218" s="381"/>
      <c r="E218" s="380"/>
      <c r="F218" s="381"/>
      <c r="H218" s="40">
        <f t="shared" si="108"/>
        <v>0</v>
      </c>
      <c r="I218" s="40">
        <f t="shared" si="109"/>
        <v>0</v>
      </c>
      <c r="J218" s="12">
        <f t="shared" si="110"/>
        <v>0</v>
      </c>
      <c r="K218" s="92">
        <f t="shared" si="111"/>
        <v>1</v>
      </c>
      <c r="L218" s="96">
        <f t="shared" si="112"/>
        <v>0</v>
      </c>
      <c r="O218" s="100"/>
      <c r="R218" s="124"/>
    </row>
    <row r="219" spans="1:18">
      <c r="B219" s="11" t="s">
        <v>249</v>
      </c>
      <c r="C219" s="380"/>
      <c r="D219" s="381"/>
      <c r="E219" s="380"/>
      <c r="F219" s="381"/>
      <c r="H219" s="40">
        <f t="shared" si="108"/>
        <v>0</v>
      </c>
      <c r="I219" s="40">
        <f t="shared" si="109"/>
        <v>0</v>
      </c>
      <c r="J219" s="12">
        <f t="shared" si="110"/>
        <v>0</v>
      </c>
      <c r="K219" s="92">
        <f t="shared" si="111"/>
        <v>1</v>
      </c>
      <c r="L219" s="96">
        <f t="shared" si="112"/>
        <v>0</v>
      </c>
      <c r="O219" s="100"/>
      <c r="R219" s="124"/>
    </row>
    <row r="220" spans="1:18">
      <c r="B220" s="11" t="s">
        <v>249</v>
      </c>
      <c r="C220" s="380"/>
      <c r="D220" s="381"/>
      <c r="E220" s="380"/>
      <c r="F220" s="381"/>
      <c r="H220" s="40">
        <f t="shared" si="108"/>
        <v>0</v>
      </c>
      <c r="I220" s="40">
        <f t="shared" si="109"/>
        <v>0</v>
      </c>
      <c r="J220" s="12">
        <f t="shared" si="110"/>
        <v>0</v>
      </c>
      <c r="K220" s="92">
        <f t="shared" si="111"/>
        <v>1</v>
      </c>
      <c r="L220" s="96">
        <f t="shared" si="112"/>
        <v>0</v>
      </c>
      <c r="O220" s="100"/>
      <c r="R220" s="124"/>
    </row>
    <row r="221" spans="1:18">
      <c r="B221" s="11" t="s">
        <v>249</v>
      </c>
      <c r="C221" s="380"/>
      <c r="D221" s="381"/>
      <c r="E221" s="380"/>
      <c r="F221" s="381"/>
      <c r="H221" s="40">
        <f t="shared" si="108"/>
        <v>0</v>
      </c>
      <c r="I221" s="40">
        <f t="shared" si="109"/>
        <v>0</v>
      </c>
      <c r="J221" s="12">
        <f t="shared" si="110"/>
        <v>0</v>
      </c>
      <c r="K221" s="92">
        <f t="shared" si="111"/>
        <v>1</v>
      </c>
      <c r="L221" s="96">
        <f t="shared" si="112"/>
        <v>0</v>
      </c>
      <c r="O221" s="100"/>
      <c r="R221" s="124"/>
    </row>
    <row r="222" spans="1:18">
      <c r="B222" s="11" t="s">
        <v>250</v>
      </c>
      <c r="C222" s="380"/>
      <c r="D222" s="381"/>
      <c r="E222" s="380"/>
      <c r="F222" s="381"/>
      <c r="H222" s="40">
        <f t="shared" si="108"/>
        <v>0</v>
      </c>
      <c r="I222" s="40">
        <f t="shared" si="109"/>
        <v>0</v>
      </c>
      <c r="J222" s="12">
        <f t="shared" si="110"/>
        <v>0</v>
      </c>
      <c r="K222" s="92">
        <f t="shared" si="111"/>
        <v>1</v>
      </c>
      <c r="L222" s="96">
        <f t="shared" si="112"/>
        <v>0</v>
      </c>
      <c r="O222" s="100"/>
      <c r="R222" s="124"/>
    </row>
    <row r="223" spans="1:18">
      <c r="B223" s="11" t="s">
        <v>250</v>
      </c>
      <c r="C223" s="380"/>
      <c r="D223" s="381"/>
      <c r="E223" s="380"/>
      <c r="F223" s="381"/>
      <c r="H223" s="40">
        <f t="shared" si="108"/>
        <v>0</v>
      </c>
      <c r="I223" s="40">
        <f t="shared" si="109"/>
        <v>0</v>
      </c>
      <c r="J223" s="12">
        <f t="shared" si="110"/>
        <v>0</v>
      </c>
      <c r="K223" s="92">
        <f t="shared" si="111"/>
        <v>1</v>
      </c>
      <c r="L223" s="96">
        <f t="shared" si="112"/>
        <v>0</v>
      </c>
      <c r="O223" s="100"/>
      <c r="R223" s="124"/>
    </row>
    <row r="224" spans="1:18">
      <c r="B224" s="11" t="s">
        <v>250</v>
      </c>
      <c r="C224" s="380"/>
      <c r="D224" s="381"/>
      <c r="E224" s="380"/>
      <c r="F224" s="381"/>
      <c r="H224" s="40">
        <f t="shared" si="108"/>
        <v>0</v>
      </c>
      <c r="I224" s="40">
        <f t="shared" si="109"/>
        <v>0</v>
      </c>
      <c r="J224" s="12">
        <f t="shared" si="110"/>
        <v>0</v>
      </c>
      <c r="K224" s="92">
        <f t="shared" si="111"/>
        <v>1</v>
      </c>
      <c r="L224" s="96">
        <f t="shared" si="112"/>
        <v>0</v>
      </c>
      <c r="O224" s="100"/>
      <c r="R224" s="124"/>
    </row>
    <row r="225" spans="2:18">
      <c r="B225" s="11" t="s">
        <v>250</v>
      </c>
      <c r="C225" s="380"/>
      <c r="D225" s="382"/>
      <c r="E225" s="380"/>
      <c r="F225" s="382"/>
      <c r="H225" s="40">
        <f t="shared" si="108"/>
        <v>0</v>
      </c>
      <c r="I225" s="40">
        <f t="shared" si="109"/>
        <v>0</v>
      </c>
      <c r="J225" s="12">
        <f t="shared" si="110"/>
        <v>0</v>
      </c>
      <c r="K225" s="92">
        <f t="shared" si="111"/>
        <v>1</v>
      </c>
      <c r="L225" s="96">
        <f t="shared" si="112"/>
        <v>0</v>
      </c>
      <c r="O225" s="100"/>
      <c r="R225" s="124"/>
    </row>
    <row r="226" spans="2:18">
      <c r="B226" s="11" t="s">
        <v>250</v>
      </c>
      <c r="C226" s="380"/>
      <c r="D226" s="382"/>
      <c r="E226" s="380"/>
      <c r="F226" s="382"/>
      <c r="H226" s="40">
        <f t="shared" si="108"/>
        <v>0</v>
      </c>
      <c r="I226" s="40">
        <f t="shared" si="109"/>
        <v>0</v>
      </c>
      <c r="J226" s="12">
        <f t="shared" si="110"/>
        <v>0</v>
      </c>
      <c r="K226" s="92">
        <f t="shared" si="111"/>
        <v>1</v>
      </c>
      <c r="L226" s="96">
        <f t="shared" si="112"/>
        <v>0</v>
      </c>
      <c r="O226" s="100"/>
      <c r="R226" s="124"/>
    </row>
    <row r="227" spans="2:18">
      <c r="B227" s="11" t="s">
        <v>250</v>
      </c>
      <c r="C227" s="380"/>
      <c r="D227" s="382"/>
      <c r="E227" s="380"/>
      <c r="F227" s="382"/>
      <c r="H227" s="40">
        <f t="shared" si="108"/>
        <v>0</v>
      </c>
      <c r="I227" s="40">
        <f t="shared" si="109"/>
        <v>0</v>
      </c>
      <c r="J227" s="12">
        <f t="shared" si="110"/>
        <v>0</v>
      </c>
      <c r="K227" s="92">
        <f t="shared" si="111"/>
        <v>1</v>
      </c>
      <c r="L227" s="96">
        <f t="shared" si="112"/>
        <v>0</v>
      </c>
      <c r="O227" s="100"/>
      <c r="R227" s="124"/>
    </row>
    <row r="228" spans="2:18">
      <c r="B228" s="11" t="s">
        <v>250</v>
      </c>
      <c r="C228" s="380"/>
      <c r="D228" s="382"/>
      <c r="E228" s="380"/>
      <c r="F228" s="382"/>
      <c r="H228" s="40">
        <f t="shared" si="108"/>
        <v>0</v>
      </c>
      <c r="I228" s="40">
        <f t="shared" si="109"/>
        <v>0</v>
      </c>
      <c r="J228" s="12">
        <f t="shared" si="110"/>
        <v>0</v>
      </c>
      <c r="K228" s="92">
        <f t="shared" si="111"/>
        <v>1</v>
      </c>
      <c r="L228" s="96">
        <f t="shared" si="112"/>
        <v>0</v>
      </c>
      <c r="O228" s="100"/>
      <c r="R228" s="124"/>
    </row>
    <row r="229" spans="2:18">
      <c r="B229" s="11" t="s">
        <v>250</v>
      </c>
      <c r="C229" s="380"/>
      <c r="D229" s="382"/>
      <c r="E229" s="380"/>
      <c r="F229" s="382"/>
      <c r="H229" s="40">
        <f t="shared" si="108"/>
        <v>0</v>
      </c>
      <c r="I229" s="40">
        <f t="shared" si="109"/>
        <v>0</v>
      </c>
      <c r="J229" s="12">
        <f t="shared" si="110"/>
        <v>0</v>
      </c>
      <c r="K229" s="92">
        <f t="shared" si="111"/>
        <v>1</v>
      </c>
      <c r="L229" s="96">
        <f t="shared" si="112"/>
        <v>0</v>
      </c>
      <c r="O229" s="100"/>
      <c r="R229" s="124"/>
    </row>
    <row r="230" spans="2:18">
      <c r="B230" s="11" t="s">
        <v>250</v>
      </c>
      <c r="C230" s="380"/>
      <c r="D230" s="382"/>
      <c r="E230" s="380"/>
      <c r="F230" s="382"/>
      <c r="H230" s="40">
        <f t="shared" si="108"/>
        <v>0</v>
      </c>
      <c r="I230" s="40">
        <f t="shared" si="109"/>
        <v>0</v>
      </c>
      <c r="J230" s="12">
        <f t="shared" si="110"/>
        <v>0</v>
      </c>
      <c r="K230" s="92">
        <f t="shared" si="111"/>
        <v>1</v>
      </c>
      <c r="L230" s="96">
        <f t="shared" si="112"/>
        <v>0</v>
      </c>
      <c r="O230" s="100"/>
      <c r="R230" s="124"/>
    </row>
    <row r="231" spans="2:18">
      <c r="B231" s="11" t="s">
        <v>250</v>
      </c>
      <c r="C231" s="380"/>
      <c r="D231" s="382"/>
      <c r="E231" s="380"/>
      <c r="F231" s="382"/>
      <c r="H231" s="40">
        <f t="shared" si="108"/>
        <v>0</v>
      </c>
      <c r="I231" s="40">
        <f t="shared" si="109"/>
        <v>0</v>
      </c>
      <c r="J231" s="12">
        <f t="shared" si="110"/>
        <v>0</v>
      </c>
      <c r="K231" s="92">
        <f t="shared" si="111"/>
        <v>1</v>
      </c>
      <c r="L231" s="96">
        <f t="shared" si="112"/>
        <v>0</v>
      </c>
      <c r="O231" s="100"/>
      <c r="R231" s="124"/>
    </row>
    <row r="232" spans="2:18">
      <c r="B232" s="11" t="s">
        <v>250</v>
      </c>
      <c r="C232" s="380"/>
      <c r="D232" s="382"/>
      <c r="E232" s="380"/>
      <c r="F232" s="382"/>
      <c r="H232" s="40">
        <f t="shared" si="108"/>
        <v>0</v>
      </c>
      <c r="I232" s="40">
        <f t="shared" si="109"/>
        <v>0</v>
      </c>
      <c r="J232" s="12">
        <f t="shared" si="110"/>
        <v>0</v>
      </c>
      <c r="K232" s="92">
        <f t="shared" si="111"/>
        <v>1</v>
      </c>
      <c r="L232" s="96">
        <f t="shared" si="112"/>
        <v>0</v>
      </c>
      <c r="O232" s="100"/>
      <c r="R232" s="124"/>
    </row>
    <row r="233" spans="2:18">
      <c r="B233" s="11" t="s">
        <v>250</v>
      </c>
      <c r="C233" s="380"/>
      <c r="D233" s="382"/>
      <c r="E233" s="380"/>
      <c r="F233" s="382"/>
      <c r="H233" s="40">
        <f t="shared" si="108"/>
        <v>0</v>
      </c>
      <c r="I233" s="40">
        <f t="shared" si="109"/>
        <v>0</v>
      </c>
      <c r="J233" s="12">
        <f t="shared" si="110"/>
        <v>0</v>
      </c>
      <c r="K233" s="92">
        <f t="shared" si="111"/>
        <v>1</v>
      </c>
      <c r="L233" s="96">
        <f t="shared" si="112"/>
        <v>0</v>
      </c>
      <c r="O233" s="100"/>
      <c r="R233" s="124"/>
    </row>
    <row r="235" spans="2:18">
      <c r="L235" s="142" t="s">
        <v>324</v>
      </c>
      <c r="M235" s="142"/>
      <c r="N235" s="16">
        <f>SUM(N21:N211)</f>
        <v>0</v>
      </c>
    </row>
    <row r="236" spans="2:18">
      <c r="H236" s="11" t="s">
        <v>325</v>
      </c>
      <c r="N236" s="16">
        <f>IF(N235&gt;36,5,IF(N235&gt;26,4,IF(N235&gt;15,3,IF(N235&gt;6,2,0))))</f>
        <v>0</v>
      </c>
    </row>
  </sheetData>
  <sheetProtection password="9F5D" sheet="1" objects="1" scenarios="1" selectLockedCells="1" autoFilter="0"/>
  <autoFilter ref="O10:O233"/>
  <mergeCells count="8">
    <mergeCell ref="V93:W93"/>
    <mergeCell ref="O8:Q8"/>
    <mergeCell ref="C1:F1"/>
    <mergeCell ref="C2:F2"/>
    <mergeCell ref="C3:F3"/>
    <mergeCell ref="C4:F4"/>
    <mergeCell ref="O1:R3"/>
    <mergeCell ref="O6:R7"/>
  </mergeCells>
  <phoneticPr fontId="1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AQ509"/>
  <sheetViews>
    <sheetView zoomScaleNormal="100" workbookViewId="0">
      <pane xSplit="2" topLeftCell="C1" activePane="topRight" state="frozen"/>
      <selection activeCell="S14" sqref="S14"/>
      <selection pane="topRight" activeCell="AI24" sqref="AI24"/>
    </sheetView>
  </sheetViews>
  <sheetFormatPr defaultRowHeight="11.25"/>
  <cols>
    <col min="1" max="1" width="3.42578125" style="10" customWidth="1"/>
    <col min="2" max="2" width="28.140625" style="11" customWidth="1"/>
    <col min="3" max="7" width="6.7109375" style="11" customWidth="1"/>
    <col min="8" max="18" width="4.7109375" style="12" customWidth="1"/>
    <col min="19" max="19" width="5.42578125" style="12" customWidth="1"/>
    <col min="20" max="20" width="4.7109375" style="90" customWidth="1"/>
    <col min="21" max="21" width="2.42578125" style="11" customWidth="1"/>
    <col min="22" max="31" width="7.7109375" style="12" hidden="1" customWidth="1"/>
    <col min="32" max="32" width="7.7109375" style="11" hidden="1" customWidth="1"/>
    <col min="33" max="34" width="9.140625" style="12" hidden="1" customWidth="1"/>
    <col min="35" max="35" width="4" style="45" customWidth="1"/>
    <col min="36" max="39" width="9.140625" style="11" hidden="1" customWidth="1"/>
    <col min="40" max="48" width="9.140625" style="11" customWidth="1"/>
    <col min="49" max="16384" width="9.140625" style="11"/>
  </cols>
  <sheetData>
    <row r="1" spans="1:35" ht="12.95" customHeight="1">
      <c r="B1" s="126">
        <f>'analyse import'!C1</f>
        <v>0</v>
      </c>
      <c r="E1" s="49" t="s">
        <v>221</v>
      </c>
      <c r="F1" s="50" t="s">
        <v>224</v>
      </c>
      <c r="G1" s="50"/>
      <c r="H1" s="51"/>
      <c r="I1" s="51"/>
      <c r="J1" s="51"/>
      <c r="K1" s="51"/>
      <c r="L1" s="51"/>
      <c r="M1" s="51"/>
      <c r="N1" s="51"/>
      <c r="O1" s="119"/>
      <c r="P1" s="481"/>
      <c r="Q1" s="482"/>
      <c r="R1" s="482"/>
      <c r="S1" s="482"/>
      <c r="T1" s="483"/>
      <c r="V1" s="52" t="s">
        <v>148</v>
      </c>
      <c r="AI1" s="30"/>
    </row>
    <row r="2" spans="1:35" ht="12.95" customHeight="1">
      <c r="B2" s="126">
        <f>'analyse import'!C2</f>
        <v>0</v>
      </c>
      <c r="E2" s="53" t="s">
        <v>256</v>
      </c>
      <c r="F2" s="54" t="s">
        <v>282</v>
      </c>
      <c r="G2" s="54"/>
      <c r="H2" s="55"/>
      <c r="I2" s="55"/>
      <c r="J2" s="55"/>
      <c r="K2" s="55"/>
      <c r="L2" s="55"/>
      <c r="M2" s="55"/>
      <c r="N2" s="55"/>
      <c r="O2" s="120"/>
      <c r="P2" s="484"/>
      <c r="Q2" s="485"/>
      <c r="R2" s="485"/>
      <c r="S2" s="485"/>
      <c r="T2" s="486"/>
      <c r="V2" s="52"/>
      <c r="AI2" s="30"/>
    </row>
    <row r="3" spans="1:35" ht="12.95" customHeight="1">
      <c r="B3" s="126">
        <f>'analyse import'!C3</f>
        <v>0</v>
      </c>
      <c r="E3" s="53" t="s">
        <v>261</v>
      </c>
      <c r="F3" s="54" t="s">
        <v>326</v>
      </c>
      <c r="G3" s="54"/>
      <c r="H3" s="55"/>
      <c r="I3" s="55"/>
      <c r="J3" s="55"/>
      <c r="K3" s="55"/>
      <c r="L3" s="55"/>
      <c r="M3" s="55"/>
      <c r="N3" s="55"/>
      <c r="O3" s="120"/>
      <c r="P3" s="484"/>
      <c r="Q3" s="485"/>
      <c r="R3" s="485"/>
      <c r="S3" s="485"/>
      <c r="T3" s="486"/>
      <c r="V3" s="52"/>
      <c r="AI3" s="30"/>
    </row>
    <row r="4" spans="1:35" ht="12.95" customHeight="1">
      <c r="B4" s="88" t="str">
        <f>IF(E26&gt;4.99,IF(start!D11=1,"toetsen conform BRL9335 protocol 1",""),"")</f>
        <v/>
      </c>
      <c r="E4" s="53" t="s">
        <v>222</v>
      </c>
      <c r="F4" s="54" t="s">
        <v>225</v>
      </c>
      <c r="G4" s="54"/>
      <c r="H4" s="55"/>
      <c r="I4" s="55"/>
      <c r="J4" s="55"/>
      <c r="K4" s="55"/>
      <c r="L4" s="55"/>
      <c r="M4" s="55"/>
      <c r="N4" s="55"/>
      <c r="O4" s="120"/>
      <c r="P4" s="484"/>
      <c r="Q4" s="485"/>
      <c r="R4" s="485"/>
      <c r="S4" s="485"/>
      <c r="T4" s="486"/>
      <c r="V4" s="48" t="s">
        <v>215</v>
      </c>
      <c r="AI4" s="30"/>
    </row>
    <row r="5" spans="1:35" ht="12.95" customHeight="1">
      <c r="B5" s="88" t="str">
        <f>start!H25</f>
        <v>grond</v>
      </c>
      <c r="E5" s="57" t="s">
        <v>223</v>
      </c>
      <c r="F5" s="159" t="s">
        <v>226</v>
      </c>
      <c r="G5" s="159"/>
      <c r="H5" s="58"/>
      <c r="I5" s="58"/>
      <c r="J5" s="58"/>
      <c r="K5" s="58"/>
      <c r="L5" s="58"/>
      <c r="M5" s="58"/>
      <c r="N5" s="58"/>
      <c r="O5" s="122"/>
      <c r="P5" s="487"/>
      <c r="Q5" s="488"/>
      <c r="R5" s="488"/>
      <c r="S5" s="488"/>
      <c r="T5" s="489"/>
      <c r="V5" s="48" t="s">
        <v>149</v>
      </c>
      <c r="AI5" s="30"/>
    </row>
    <row r="6" spans="1:35" hidden="1">
      <c r="H6" s="11"/>
      <c r="I6" s="11"/>
      <c r="J6" s="11"/>
      <c r="L6" s="56"/>
      <c r="N6" s="56"/>
      <c r="O6" s="121"/>
      <c r="V6" s="48" t="s">
        <v>150</v>
      </c>
      <c r="AI6" s="3"/>
    </row>
    <row r="7" spans="1:35" hidden="1">
      <c r="H7" s="11"/>
      <c r="I7" s="11"/>
      <c r="J7" s="11"/>
      <c r="L7" s="56"/>
      <c r="N7" s="56"/>
      <c r="O7" s="121"/>
      <c r="V7" s="48" t="s">
        <v>167</v>
      </c>
      <c r="AI7" s="3"/>
    </row>
    <row r="8" spans="1:35" hidden="1">
      <c r="H8" s="11"/>
      <c r="I8" s="11"/>
      <c r="J8" s="11"/>
      <c r="L8" s="56"/>
      <c r="N8" s="56"/>
      <c r="O8" s="121"/>
      <c r="V8" s="48" t="s">
        <v>159</v>
      </c>
      <c r="AI8" s="3"/>
    </row>
    <row r="9" spans="1:35" hidden="1">
      <c r="H9" s="11"/>
      <c r="I9" s="11"/>
      <c r="J9" s="11"/>
      <c r="L9" s="56"/>
      <c r="N9" s="56"/>
      <c r="O9" s="121"/>
      <c r="V9" s="48" t="s">
        <v>183</v>
      </c>
      <c r="AI9" s="3"/>
    </row>
    <row r="10" spans="1:35" hidden="1">
      <c r="H10" s="11"/>
      <c r="I10" s="11"/>
      <c r="J10" s="11"/>
      <c r="L10" s="56"/>
      <c r="N10" s="56"/>
      <c r="O10" s="121"/>
      <c r="V10" s="48" t="s">
        <v>160</v>
      </c>
      <c r="AI10" s="3"/>
    </row>
    <row r="11" spans="1:35" hidden="1">
      <c r="H11" s="11"/>
      <c r="I11" s="11"/>
      <c r="J11" s="11"/>
      <c r="L11" s="56"/>
      <c r="N11" s="56"/>
      <c r="O11" s="121"/>
      <c r="V11" s="48" t="s">
        <v>165</v>
      </c>
      <c r="AI11" s="3"/>
    </row>
    <row r="12" spans="1:35" hidden="1">
      <c r="H12" s="11"/>
      <c r="I12" s="11"/>
      <c r="J12" s="11"/>
      <c r="L12" s="56"/>
      <c r="N12" s="56"/>
      <c r="O12" s="121"/>
      <c r="V12" s="48" t="s">
        <v>161</v>
      </c>
      <c r="AI12" s="3"/>
    </row>
    <row r="13" spans="1:35" hidden="1">
      <c r="H13" s="11"/>
      <c r="I13" s="11"/>
      <c r="J13" s="11"/>
      <c r="L13" s="56"/>
      <c r="N13" s="56"/>
      <c r="O13" s="121"/>
      <c r="V13" s="48" t="s">
        <v>184</v>
      </c>
      <c r="AI13" s="3"/>
    </row>
    <row r="14" spans="1:35" ht="12.95" customHeight="1">
      <c r="B14" s="259">
        <f>start!D5</f>
        <v>0</v>
      </c>
      <c r="E14" s="475" t="s">
        <v>649</v>
      </c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7"/>
      <c r="V14" s="48"/>
      <c r="AI14" s="30"/>
    </row>
    <row r="15" spans="1:35" ht="12.95" customHeight="1" thickBot="1">
      <c r="B15" s="140" t="str">
        <f>start!F2</f>
        <v>Back2B6 versie 14 juni 2017</v>
      </c>
      <c r="E15" s="478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80"/>
      <c r="V15" s="48"/>
      <c r="AI15" s="30"/>
    </row>
    <row r="16" spans="1:35" ht="105" customHeight="1" thickTop="1" thickBot="1">
      <c r="A16" s="17"/>
      <c r="B16" s="18" t="s">
        <v>0</v>
      </c>
      <c r="C16" s="22" t="s">
        <v>1</v>
      </c>
      <c r="D16" s="23" t="s">
        <v>2</v>
      </c>
      <c r="E16" s="160" t="s">
        <v>432</v>
      </c>
      <c r="F16" s="160" t="s">
        <v>433</v>
      </c>
      <c r="G16" s="160" t="s">
        <v>455</v>
      </c>
      <c r="H16" s="160" t="s">
        <v>218</v>
      </c>
      <c r="I16" s="160" t="s">
        <v>3</v>
      </c>
      <c r="J16" s="160" t="s">
        <v>4</v>
      </c>
      <c r="K16" s="160" t="s">
        <v>274</v>
      </c>
      <c r="L16" s="160" t="s">
        <v>275</v>
      </c>
      <c r="M16" s="160" t="s">
        <v>164</v>
      </c>
      <c r="N16" s="160" t="s">
        <v>219</v>
      </c>
      <c r="O16" s="160" t="s">
        <v>236</v>
      </c>
      <c r="P16" s="160" t="s">
        <v>237</v>
      </c>
      <c r="Q16" s="160" t="s">
        <v>166</v>
      </c>
      <c r="R16" s="160" t="s">
        <v>162</v>
      </c>
      <c r="S16" s="160" t="s">
        <v>238</v>
      </c>
      <c r="T16" s="161" t="s">
        <v>271</v>
      </c>
      <c r="U16" s="59"/>
      <c r="V16" s="60" t="str">
        <f>V4</f>
        <v>achtergrondwaarden landbodem en waterbodem</v>
      </c>
      <c r="W16" s="60" t="str">
        <f>V5</f>
        <v>wonen</v>
      </c>
      <c r="X16" s="60" t="str">
        <f>V6</f>
        <v>industrie</v>
      </c>
      <c r="Y16" s="60" t="s">
        <v>273</v>
      </c>
      <c r="Z16" s="60" t="str">
        <f>V8</f>
        <v>emissietoets lanbodem</v>
      </c>
      <c r="AA16" s="60" t="s">
        <v>217</v>
      </c>
      <c r="AB16" s="60" t="str">
        <f>V9</f>
        <v>onderwatertoepassing A en verspreiden zoet water</v>
      </c>
      <c r="AC16" s="60" t="str">
        <f>V10</f>
        <v>onderwatertoepassing B</v>
      </c>
      <c r="AD16" s="60" t="str">
        <f>V11</f>
        <v>interventiewaarde waterbodem</v>
      </c>
      <c r="AE16" s="60" t="str">
        <f>V12</f>
        <v>emissietoets waterbodem</v>
      </c>
      <c r="AF16" s="60" t="s">
        <v>182</v>
      </c>
      <c r="AG16" s="97" t="s">
        <v>260</v>
      </c>
      <c r="AH16" s="97" t="s">
        <v>276</v>
      </c>
      <c r="AI16" s="29" t="s">
        <v>262</v>
      </c>
    </row>
    <row r="17" spans="1:37" s="29" customFormat="1" ht="12" customHeight="1">
      <c r="A17" s="24"/>
      <c r="B17" s="25"/>
      <c r="C17" s="26"/>
      <c r="D17" s="26"/>
      <c r="E17" s="61"/>
      <c r="F17" s="62"/>
      <c r="G17" s="63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4"/>
      <c r="T17" s="416">
        <f ca="1">MAX(T22:T210)</f>
        <v>0</v>
      </c>
      <c r="U17" s="6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45"/>
    </row>
    <row r="18" spans="1:37" s="29" customFormat="1" ht="11.25" customHeight="1">
      <c r="A18" s="27">
        <v>0</v>
      </c>
      <c r="B18" s="27" t="s">
        <v>151</v>
      </c>
      <c r="C18" s="28"/>
      <c r="D18" s="28"/>
      <c r="E18" s="268"/>
      <c r="F18" s="269"/>
      <c r="G18" s="67"/>
      <c r="H18" s="33" t="s">
        <v>229</v>
      </c>
      <c r="I18" s="68" t="s">
        <v>228</v>
      </c>
      <c r="J18" s="68" t="s">
        <v>227</v>
      </c>
      <c r="K18" s="68" t="s">
        <v>232</v>
      </c>
      <c r="L18" s="68" t="s">
        <v>267</v>
      </c>
      <c r="M18" s="68" t="s">
        <v>234</v>
      </c>
      <c r="N18" s="68" t="s">
        <v>230</v>
      </c>
      <c r="O18" s="68" t="s">
        <v>170</v>
      </c>
      <c r="P18" s="68" t="s">
        <v>171</v>
      </c>
      <c r="Q18" s="68" t="s">
        <v>231</v>
      </c>
      <c r="R18" s="68" t="s">
        <v>233</v>
      </c>
      <c r="S18" s="33" t="s">
        <v>185</v>
      </c>
      <c r="T18" s="116" t="s">
        <v>272</v>
      </c>
      <c r="U18" s="6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45">
        <v>1</v>
      </c>
    </row>
    <row r="19" spans="1:37" s="29" customFormat="1" ht="11.25" customHeight="1">
      <c r="A19" s="24"/>
      <c r="B19" s="29" t="s">
        <v>152</v>
      </c>
      <c r="C19" s="416">
        <f>'analyse import'!H11</f>
        <v>0</v>
      </c>
      <c r="D19" s="416">
        <f>'analyse import'!I11</f>
        <v>0</v>
      </c>
      <c r="E19" s="270"/>
      <c r="F19" s="271"/>
      <c r="G19" s="245" t="str">
        <f>IF(C19+D19&gt;0,'analyse import'!L11,"")</f>
        <v/>
      </c>
      <c r="H19" s="13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13"/>
      <c r="T19" s="34"/>
      <c r="U19" s="66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45">
        <f>IF(C19+D19&gt;0,1,0)</f>
        <v>0</v>
      </c>
    </row>
    <row r="20" spans="1:37" s="29" customFormat="1" ht="11.25" customHeight="1">
      <c r="A20" s="24"/>
      <c r="B20" s="29" t="s">
        <v>153</v>
      </c>
      <c r="C20" s="416">
        <f>'analyse import'!H12</f>
        <v>0</v>
      </c>
      <c r="D20" s="416">
        <f>'analyse import'!I12</f>
        <v>0</v>
      </c>
      <c r="E20" s="261" t="str">
        <f>IF('analyse import'!D12&gt;0,'analyse import'!H12,"")</f>
        <v/>
      </c>
      <c r="F20" s="271" t="str">
        <f>IF('analyse import'!F12&gt;0,'analyse import'!I12,"")</f>
        <v/>
      </c>
      <c r="G20" s="245" t="str">
        <f>IF(C20+D20&gt;0,'analyse import'!L12,"")</f>
        <v/>
      </c>
      <c r="H20" s="13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13"/>
      <c r="T20" s="34"/>
      <c r="U20" s="66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45">
        <f>IF(C20+D20&gt;0,1,0)</f>
        <v>0</v>
      </c>
    </row>
    <row r="21" spans="1:37" s="29" customFormat="1" ht="11.25" customHeight="1">
      <c r="A21" s="24"/>
      <c r="B21" s="29" t="s">
        <v>154</v>
      </c>
      <c r="C21" s="416">
        <f>'analyse import'!H13</f>
        <v>0</v>
      </c>
      <c r="D21" s="416">
        <f>'analyse import'!I13</f>
        <v>0</v>
      </c>
      <c r="E21" s="270"/>
      <c r="F21" s="271"/>
      <c r="G21" s="249" t="str">
        <f>IF(C21+D21&gt;0,'analyse import'!L13,"")</f>
        <v/>
      </c>
      <c r="H21" s="1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13"/>
      <c r="T21" s="34"/>
      <c r="U21" s="66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45">
        <f>IF(C21+D21&gt;0,1,0)</f>
        <v>0</v>
      </c>
    </row>
    <row r="22" spans="1:37" s="29" customFormat="1" ht="11.25" customHeight="1">
      <c r="A22" s="24"/>
      <c r="B22" s="29" t="s">
        <v>155</v>
      </c>
      <c r="C22" s="416">
        <f ca="1">'analyse import'!H14*start!J17</f>
        <v>0</v>
      </c>
      <c r="D22" s="416">
        <f ca="1">'analyse import'!I14*start!J17</f>
        <v>0</v>
      </c>
      <c r="E22" s="272">
        <v>10</v>
      </c>
      <c r="F22" s="271">
        <v>10</v>
      </c>
      <c r="G22" s="69">
        <v>10</v>
      </c>
      <c r="H22" s="13"/>
      <c r="I22" s="202" t="str">
        <f ca="1">IF(start!J17=0,"De toetsingsmodule is verouderd. U dient een nieuwe versie te downloaden","")</f>
        <v/>
      </c>
      <c r="J22" s="70"/>
      <c r="K22" s="70"/>
      <c r="L22" s="70"/>
      <c r="M22" s="70"/>
      <c r="N22" s="70"/>
      <c r="O22" s="70"/>
      <c r="P22" s="70"/>
      <c r="Q22" s="70"/>
      <c r="R22" s="70"/>
      <c r="S22" s="13"/>
      <c r="T22" s="34" t="str">
        <f ca="1">IF(C22*D22&gt;0,MAX(C22:D22)/MIN(C22:D22),"")</f>
        <v/>
      </c>
      <c r="U22" s="66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45">
        <v>1</v>
      </c>
    </row>
    <row r="23" spans="1:37" s="29" customFormat="1" ht="11.25" customHeight="1">
      <c r="A23" s="24"/>
      <c r="B23" s="25" t="s">
        <v>156</v>
      </c>
      <c r="C23" s="416">
        <f ca="1">'analyse import'!H15*start!J17</f>
        <v>0</v>
      </c>
      <c r="D23" s="416">
        <f ca="1">'analyse import'!I15*start!J17</f>
        <v>0</v>
      </c>
      <c r="E23" s="272">
        <v>25</v>
      </c>
      <c r="F23" s="271">
        <v>25</v>
      </c>
      <c r="G23" s="69">
        <v>25</v>
      </c>
      <c r="H23" s="13"/>
      <c r="I23" s="202" t="str">
        <f ca="1">IF(start!J17=0,"op www.back2b6.net.","")</f>
        <v/>
      </c>
      <c r="J23" s="70"/>
      <c r="K23" s="70"/>
      <c r="L23" s="70"/>
      <c r="M23" s="70"/>
      <c r="N23" s="70"/>
      <c r="O23" s="70"/>
      <c r="P23" s="70"/>
      <c r="Q23" s="70"/>
      <c r="R23" s="70"/>
      <c r="S23" s="13"/>
      <c r="T23" s="34" t="str">
        <f ca="1">IF(C23*D23&gt;0,MAX(C23:D23)/MIN(C23:D23),"")</f>
        <v/>
      </c>
      <c r="U23" s="66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45">
        <v>1</v>
      </c>
    </row>
    <row r="24" spans="1:37" s="29" customFormat="1" ht="11.25" customHeight="1">
      <c r="A24" s="24"/>
      <c r="B24" s="25" t="s">
        <v>157</v>
      </c>
      <c r="C24" s="295">
        <f>'analyse import'!H16</f>
        <v>0</v>
      </c>
      <c r="D24" s="295">
        <f>'analyse import'!I16</f>
        <v>0</v>
      </c>
      <c r="E24" s="261" t="str">
        <f>IF(C24+D24&gt;0,'analyse import'!L16,"")</f>
        <v/>
      </c>
      <c r="F24" s="271"/>
      <c r="G24" s="69"/>
      <c r="H24" s="1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13"/>
      <c r="T24" s="34" t="str">
        <f>IF(C24*D24&gt;0,MAX(C24:D24)/MIN(C24:D24),"")</f>
        <v/>
      </c>
      <c r="U24" s="66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99">
        <f>IF(C24+D24&gt;0,1,0)</f>
        <v>0</v>
      </c>
    </row>
    <row r="25" spans="1:37" s="29" customFormat="1" ht="11.25" customHeight="1">
      <c r="A25" s="24"/>
      <c r="B25" s="25" t="s">
        <v>158</v>
      </c>
      <c r="C25" s="295">
        <f>'analyse import'!H17</f>
        <v>0</v>
      </c>
      <c r="D25" s="295">
        <f>'analyse import'!I17</f>
        <v>0</v>
      </c>
      <c r="E25" s="261" t="str">
        <f>IF(C25+D25&gt;0,'analyse import'!L17,"")</f>
        <v/>
      </c>
      <c r="F25" s="271"/>
      <c r="G25" s="69"/>
      <c r="H25" s="1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13"/>
      <c r="T25" s="34" t="str">
        <f>IF(C25*D25&gt;0,MAX(C25:D25)/MIN(C25:D25),"")</f>
        <v/>
      </c>
      <c r="U25" s="66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99">
        <f>IF(C25+D25&gt;0,1,0)</f>
        <v>0</v>
      </c>
    </row>
    <row r="26" spans="1:37" s="29" customFormat="1" ht="10.5" customHeight="1">
      <c r="A26" s="151"/>
      <c r="B26" s="25" t="s">
        <v>338</v>
      </c>
      <c r="C26" s="295">
        <f>'analyse import'!H19</f>
        <v>0</v>
      </c>
      <c r="D26" s="295">
        <f>'analyse import'!I19</f>
        <v>0</v>
      </c>
      <c r="E26" s="261" t="str">
        <f>IF(C26+D26&gt;0,'analyse import'!L19,"")</f>
        <v/>
      </c>
      <c r="F26" s="271"/>
      <c r="G26" s="69"/>
      <c r="H26" s="13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13"/>
      <c r="T26" s="34" t="str">
        <f>IF(C26*D26&gt;0,MAX(C26:D26)/MIN(C26:D26),"")</f>
        <v/>
      </c>
      <c r="U26" s="66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45">
        <f>IF(C26+D26&gt;0,1,0)</f>
        <v>0</v>
      </c>
    </row>
    <row r="27" spans="1:37">
      <c r="A27" s="32"/>
      <c r="B27" s="32" t="s">
        <v>8</v>
      </c>
      <c r="C27" s="33" t="s">
        <v>5</v>
      </c>
      <c r="D27" s="33" t="s">
        <v>5</v>
      </c>
      <c r="E27" s="273" t="s">
        <v>5</v>
      </c>
      <c r="F27" s="274" t="s">
        <v>5</v>
      </c>
      <c r="G27" s="72" t="s">
        <v>5</v>
      </c>
      <c r="H27" s="33" t="s">
        <v>229</v>
      </c>
      <c r="I27" s="33" t="s">
        <v>228</v>
      </c>
      <c r="J27" s="33" t="s">
        <v>227</v>
      </c>
      <c r="K27" s="33" t="s">
        <v>232</v>
      </c>
      <c r="L27" s="33" t="s">
        <v>267</v>
      </c>
      <c r="M27" s="33" t="s">
        <v>234</v>
      </c>
      <c r="N27" s="33" t="s">
        <v>230</v>
      </c>
      <c r="O27" s="33" t="s">
        <v>170</v>
      </c>
      <c r="P27" s="33" t="s">
        <v>171</v>
      </c>
      <c r="Q27" s="33" t="s">
        <v>231</v>
      </c>
      <c r="R27" s="33" t="s">
        <v>233</v>
      </c>
      <c r="S27" s="33" t="s">
        <v>185</v>
      </c>
      <c r="T27" s="116" t="s">
        <v>272</v>
      </c>
      <c r="AF27" s="12"/>
      <c r="AI27" s="45">
        <f>IF(SUM(AI28:AI41)&gt;0,1,0)</f>
        <v>0</v>
      </c>
      <c r="AK27" s="12">
        <f ca="1">SUM(AK28:AK233)</f>
        <v>0</v>
      </c>
    </row>
    <row r="28" spans="1:37" ht="11.25" customHeight="1">
      <c r="B28" s="11" t="s">
        <v>9</v>
      </c>
      <c r="C28" s="12">
        <f>'analyse import'!H21</f>
        <v>0</v>
      </c>
      <c r="D28" s="12">
        <f>'analyse import'!I21</f>
        <v>0</v>
      </c>
      <c r="E28" s="261" t="str">
        <f>IF(C28&gt;0,omrekenen!H8,"")</f>
        <v/>
      </c>
      <c r="F28" s="262" t="str">
        <f>IF(D28&gt;0,omrekenen!I8,"")</f>
        <v/>
      </c>
      <c r="G28" s="247" t="str">
        <f>IF(C28&gt;0,omrekenen!J8,"")</f>
        <v/>
      </c>
      <c r="H28" s="56" t="str">
        <f>IF($C28+$D28&gt;0,IF($G28&gt;2*V28,"2x",IF($G28&gt;V28,"X","-")),"")</f>
        <v/>
      </c>
      <c r="I28" s="56" t="str">
        <f>IF($C28+D28&gt;0,IF($G28&gt;AG28,"@",IF(G28&gt;W28,"X","-")),"")</f>
        <v/>
      </c>
      <c r="J28" s="56" t="str">
        <f>IF($C28+D28&gt;0,IF($G28&gt;X28,"X","-"),"")</f>
        <v/>
      </c>
      <c r="K28" s="56" t="str">
        <f>IF($C28+D28&gt;0,IF($G28&gt;Y28,"X","-"),"")</f>
        <v/>
      </c>
      <c r="L28" s="56" t="str">
        <f>IF($C28+D28&gt;0,IF($G28&gt;AH28,"X","-"),"")</f>
        <v/>
      </c>
      <c r="M28" s="56" t="str">
        <f>IF($C28+D28&gt;0,IF($G28&gt;Z28,"X","-"),"")</f>
        <v/>
      </c>
      <c r="N28" s="56" t="str">
        <f>IF($C28+D28&gt;0,IF($G28&gt;AA28,"X","-"),"")</f>
        <v/>
      </c>
      <c r="O28" s="56" t="s">
        <v>220</v>
      </c>
      <c r="P28" s="56" t="str">
        <f>IF($C28+D28&gt;0,IF($G28&gt;AC28,"X","-"),"")</f>
        <v/>
      </c>
      <c r="Q28" s="56" t="str">
        <f>IF($C28+D28&gt;0,IF($G28&gt;AD28,"X","-"),"")</f>
        <v/>
      </c>
      <c r="R28" s="56" t="str">
        <f>IF($C28+D28&gt;0,IF($G28&gt;AE28,"X","-"),"")</f>
        <v/>
      </c>
      <c r="S28" s="56" t="s">
        <v>220</v>
      </c>
      <c r="T28" s="34" t="str">
        <f t="shared" ref="T28:T41" si="0">IF(C28*D28&gt;0,MAX(C28:D28)/MIN(C28:D28),"")</f>
        <v/>
      </c>
      <c r="V28" s="12">
        <v>4</v>
      </c>
      <c r="W28" s="12">
        <v>15</v>
      </c>
      <c r="X28" s="12">
        <v>22</v>
      </c>
      <c r="Y28" s="12">
        <v>22</v>
      </c>
      <c r="Z28" s="12">
        <v>9</v>
      </c>
      <c r="AA28" s="12">
        <f>V28</f>
        <v>4</v>
      </c>
      <c r="AC28" s="12">
        <v>15</v>
      </c>
      <c r="AD28" s="12">
        <f>AC28</f>
        <v>15</v>
      </c>
      <c r="AE28" s="12">
        <v>9</v>
      </c>
      <c r="AF28" s="12"/>
      <c r="AG28" s="12">
        <f>IF(V28+W28&gt;X28,X28,V28+W28)</f>
        <v>19</v>
      </c>
      <c r="AH28" s="284">
        <f>(V28+Y28)/2</f>
        <v>13</v>
      </c>
      <c r="AI28" s="99">
        <f>'analyse import'!J21</f>
        <v>0</v>
      </c>
      <c r="AK28" s="12">
        <f t="shared" ref="AK28:AK89" si="1">IF(K28="X",1,0)</f>
        <v>0</v>
      </c>
    </row>
    <row r="29" spans="1:37">
      <c r="B29" s="11" t="s">
        <v>10</v>
      </c>
      <c r="C29" s="12">
        <f>'analyse import'!H22</f>
        <v>0</v>
      </c>
      <c r="D29" s="12">
        <f>'analyse import'!I22</f>
        <v>0</v>
      </c>
      <c r="E29" s="261" t="str">
        <f>IF(C29&gt;0,omrekenen!H9,"")</f>
        <v/>
      </c>
      <c r="F29" s="262" t="str">
        <f>IF(D29&gt;0,omrekenen!I9,"")</f>
        <v/>
      </c>
      <c r="G29" s="247" t="str">
        <f>IF(C29&gt;0,omrekenen!J9,"")</f>
        <v/>
      </c>
      <c r="H29" s="56" t="str">
        <f t="shared" ref="H29:H41" si="2">IF($C29+$D29&gt;0,IF($G29&gt;2*V29,"2x",IF($G29&gt;V29,"X","-")),"")</f>
        <v/>
      </c>
      <c r="I29" s="56" t="str">
        <f t="shared" ref="I29:I41" si="3">IF($C29+D29&gt;0,IF($G29&gt;AG29,"@",IF(G29&gt;W29,"X","-")),"")</f>
        <v/>
      </c>
      <c r="J29" s="56" t="str">
        <f t="shared" ref="J29:J41" si="4">IF($C29+D29&gt;0,IF($G29&gt;X29,"X","-"),"")</f>
        <v/>
      </c>
      <c r="K29" s="56" t="str">
        <f t="shared" ref="K29:K41" si="5">IF($C29+D29&gt;0,IF($G29&gt;Y29,"X","-"),"")</f>
        <v/>
      </c>
      <c r="L29" s="56" t="str">
        <f t="shared" ref="L29:L41" si="6">IF($C29+D29&gt;0,IF($G29&gt;AH29,"X","-"),"")</f>
        <v/>
      </c>
      <c r="M29" s="56" t="str">
        <f t="shared" ref="M29:M41" si="7">IF($C29+D29&gt;0,IF($G29&gt;Z29,"X","-"),"")</f>
        <v/>
      </c>
      <c r="N29" s="56" t="str">
        <f t="shared" ref="N29:N41" si="8">IF($C29+D29&gt;0,IF($G29&gt;AA29,"X","-"),"")</f>
        <v/>
      </c>
      <c r="O29" s="56" t="str">
        <f>IF($C29+D29&gt;0,IF($G29&gt;AB29,"X","-"),"")</f>
        <v/>
      </c>
      <c r="P29" s="56" t="str">
        <f t="shared" ref="P29:P38" si="9">IF($C29+D29&gt;0,IF($G29&gt;AC29,"X","-"),"")</f>
        <v/>
      </c>
      <c r="Q29" s="56" t="str">
        <f t="shared" ref="Q29:Q38" si="10">IF($C29+D29&gt;0,IF($G29&gt;AD29,"X","-"),"")</f>
        <v/>
      </c>
      <c r="R29" s="56" t="str">
        <f t="shared" ref="R29:R41" si="11">IF($C29+D29&gt;0,IF($G29&gt;AE29,"X","-"),"")</f>
        <v/>
      </c>
      <c r="S29" s="56" t="str">
        <f>IF($C29+D29&gt;0,IF($G29&gt;AF29,"X","-"),"")</f>
        <v/>
      </c>
      <c r="T29" s="34" t="str">
        <f t="shared" si="0"/>
        <v/>
      </c>
      <c r="V29" s="12">
        <v>20</v>
      </c>
      <c r="W29" s="12">
        <v>27</v>
      </c>
      <c r="X29" s="12">
        <v>76</v>
      </c>
      <c r="Y29" s="12">
        <v>76</v>
      </c>
      <c r="Z29" s="12">
        <v>42</v>
      </c>
      <c r="AA29" s="12">
        <f t="shared" ref="AA29:AA41" si="12">V29</f>
        <v>20</v>
      </c>
      <c r="AB29" s="12">
        <v>24</v>
      </c>
      <c r="AC29" s="12">
        <v>85</v>
      </c>
      <c r="AD29" s="12">
        <f t="shared" ref="AD29:AD41" si="13">AC29</f>
        <v>85</v>
      </c>
      <c r="AE29" s="12">
        <v>42</v>
      </c>
      <c r="AF29" s="12">
        <v>29</v>
      </c>
      <c r="AG29" s="12">
        <f t="shared" ref="AG29:AG41" si="14">IF(V29+W29&gt;X29,X29,V29+W29)</f>
        <v>47</v>
      </c>
      <c r="AH29" s="284">
        <f t="shared" ref="AH29:AH41" si="15">(V29+Y29)/2</f>
        <v>48</v>
      </c>
      <c r="AI29" s="99">
        <f>'analyse import'!J22</f>
        <v>0</v>
      </c>
      <c r="AK29" s="12">
        <f t="shared" si="1"/>
        <v>0</v>
      </c>
    </row>
    <row r="30" spans="1:37">
      <c r="B30" s="11" t="str">
        <f>IF('analyse import'!R5=1,"barium (Ba) therm. gereinigde grond","barium (Ba) [*]")</f>
        <v>barium (Ba) [*]</v>
      </c>
      <c r="C30" s="12">
        <f>'analyse import'!H23</f>
        <v>0</v>
      </c>
      <c r="D30" s="12">
        <f>'analyse import'!I23</f>
        <v>0</v>
      </c>
      <c r="E30" s="272" t="str">
        <f>IF(C30&gt;0,omrekenen!H10,"")</f>
        <v/>
      </c>
      <c r="F30" s="275" t="str">
        <f>IF(D30&gt;0,omrekenen!I10,"")</f>
        <v/>
      </c>
      <c r="G30" s="248" t="str">
        <f>IF(C30&gt;0,omrekenen!J10,"")</f>
        <v/>
      </c>
      <c r="H30" s="56"/>
      <c r="I30" s="56"/>
      <c r="J30" s="56"/>
      <c r="K30" s="56" t="str">
        <f t="shared" si="5"/>
        <v/>
      </c>
      <c r="L30" s="56" t="str">
        <f t="shared" si="6"/>
        <v/>
      </c>
      <c r="M30" s="56"/>
      <c r="N30" s="56"/>
      <c r="O30" s="56"/>
      <c r="P30" s="56"/>
      <c r="Q30" s="56" t="str">
        <f t="shared" si="10"/>
        <v/>
      </c>
      <c r="R30" s="56"/>
      <c r="S30" s="56" t="s">
        <v>220</v>
      </c>
      <c r="T30" s="34" t="str">
        <f t="shared" si="0"/>
        <v/>
      </c>
      <c r="V30" s="12">
        <v>190</v>
      </c>
      <c r="W30" s="12">
        <v>550</v>
      </c>
      <c r="X30" s="12">
        <v>920</v>
      </c>
      <c r="Y30" s="12">
        <v>920</v>
      </c>
      <c r="Z30" s="12">
        <v>413</v>
      </c>
      <c r="AA30" s="12">
        <f t="shared" si="12"/>
        <v>190</v>
      </c>
      <c r="AB30" s="12">
        <v>395</v>
      </c>
      <c r="AC30" s="12">
        <v>625</v>
      </c>
      <c r="AD30" s="12">
        <f t="shared" si="13"/>
        <v>625</v>
      </c>
      <c r="AE30" s="12">
        <v>413</v>
      </c>
      <c r="AF30" s="12"/>
      <c r="AG30" s="12">
        <f t="shared" si="14"/>
        <v>740</v>
      </c>
      <c r="AH30" s="284">
        <f t="shared" si="15"/>
        <v>555</v>
      </c>
      <c r="AI30" s="45">
        <f>'analyse import'!J23</f>
        <v>0</v>
      </c>
      <c r="AK30" s="12">
        <f t="shared" si="1"/>
        <v>0</v>
      </c>
    </row>
    <row r="31" spans="1:37">
      <c r="B31" s="11" t="s">
        <v>12</v>
      </c>
      <c r="C31" s="12">
        <f>'analyse import'!H24</f>
        <v>0</v>
      </c>
      <c r="D31" s="12">
        <f>'analyse import'!I24</f>
        <v>0</v>
      </c>
      <c r="E31" s="263" t="str">
        <f>IF(C31&gt;0,omrekenen!H11,"")</f>
        <v/>
      </c>
      <c r="F31" s="264" t="str">
        <f>IF(D31&gt;0,omrekenen!I11,"")</f>
        <v/>
      </c>
      <c r="G31" s="73" t="str">
        <f>IF(C31&gt;0,omrekenen!J11,"")</f>
        <v/>
      </c>
      <c r="H31" s="56" t="str">
        <f t="shared" si="2"/>
        <v/>
      </c>
      <c r="I31" s="56" t="str">
        <f t="shared" si="3"/>
        <v/>
      </c>
      <c r="J31" s="56" t="str">
        <f t="shared" si="4"/>
        <v/>
      </c>
      <c r="K31" s="56" t="str">
        <f t="shared" si="5"/>
        <v/>
      </c>
      <c r="L31" s="56" t="str">
        <f t="shared" si="6"/>
        <v/>
      </c>
      <c r="M31" s="56" t="str">
        <f t="shared" si="7"/>
        <v/>
      </c>
      <c r="N31" s="56" t="str">
        <f t="shared" si="8"/>
        <v/>
      </c>
      <c r="O31" s="56" t="str">
        <f t="shared" ref="O31:O38" si="16">IF($C31+D31&gt;0,IF($G31&gt;AB31,"X","-"),"")</f>
        <v/>
      </c>
      <c r="P31" s="56" t="str">
        <f t="shared" si="9"/>
        <v/>
      </c>
      <c r="Q31" s="56" t="str">
        <f t="shared" si="10"/>
        <v/>
      </c>
      <c r="R31" s="56" t="str">
        <f t="shared" si="11"/>
        <v/>
      </c>
      <c r="S31" s="56" t="str">
        <f>IF($C31+D31&gt;0,IF($G31&gt;AF31,"X","-"),"")</f>
        <v/>
      </c>
      <c r="T31" s="34" t="str">
        <f t="shared" si="0"/>
        <v/>
      </c>
      <c r="V31" s="12">
        <v>0.6</v>
      </c>
      <c r="W31" s="12">
        <v>1.2</v>
      </c>
      <c r="X31" s="12">
        <v>4.3</v>
      </c>
      <c r="Y31" s="12">
        <v>13</v>
      </c>
      <c r="Z31" s="12">
        <v>4.3</v>
      </c>
      <c r="AA31" s="12">
        <f t="shared" si="12"/>
        <v>0.6</v>
      </c>
      <c r="AB31" s="12">
        <v>4</v>
      </c>
      <c r="AC31" s="12">
        <v>14</v>
      </c>
      <c r="AD31" s="12">
        <f t="shared" si="13"/>
        <v>14</v>
      </c>
      <c r="AE31" s="12">
        <v>4.3</v>
      </c>
      <c r="AF31" s="12">
        <v>4</v>
      </c>
      <c r="AG31" s="12">
        <f t="shared" si="14"/>
        <v>1.7999999999999998</v>
      </c>
      <c r="AH31" s="284">
        <f t="shared" si="15"/>
        <v>6.8</v>
      </c>
      <c r="AI31" s="45">
        <f>'analyse import'!J24</f>
        <v>0</v>
      </c>
      <c r="AK31" s="12">
        <f t="shared" si="1"/>
        <v>0</v>
      </c>
    </row>
    <row r="32" spans="1:37">
      <c r="B32" s="11" t="s">
        <v>163</v>
      </c>
      <c r="C32" s="12">
        <f>'analyse import'!H25</f>
        <v>0</v>
      </c>
      <c r="D32" s="12">
        <f>'analyse import'!I25</f>
        <v>0</v>
      </c>
      <c r="E32" s="272" t="str">
        <f>IF(C32&gt;0,omrekenen!H12,"")</f>
        <v/>
      </c>
      <c r="F32" s="275" t="str">
        <f>IF(D32&gt;0,omrekenen!I12,"")</f>
        <v/>
      </c>
      <c r="G32" s="248" t="str">
        <f>IF(C32&gt;0,omrekenen!J12,"")</f>
        <v/>
      </c>
      <c r="H32" s="56" t="str">
        <f t="shared" si="2"/>
        <v/>
      </c>
      <c r="I32" s="56" t="str">
        <f t="shared" si="3"/>
        <v/>
      </c>
      <c r="J32" s="56" t="str">
        <f t="shared" si="4"/>
        <v/>
      </c>
      <c r="K32" s="56" t="str">
        <f t="shared" si="5"/>
        <v/>
      </c>
      <c r="L32" s="56" t="str">
        <f t="shared" si="6"/>
        <v/>
      </c>
      <c r="M32" s="56" t="str">
        <f t="shared" si="7"/>
        <v/>
      </c>
      <c r="N32" s="56" t="str">
        <f t="shared" si="8"/>
        <v/>
      </c>
      <c r="O32" s="56" t="str">
        <f t="shared" si="16"/>
        <v/>
      </c>
      <c r="P32" s="56" t="str">
        <f t="shared" si="9"/>
        <v/>
      </c>
      <c r="Q32" s="56" t="str">
        <f t="shared" si="10"/>
        <v/>
      </c>
      <c r="R32" s="56" t="str">
        <f t="shared" si="11"/>
        <v/>
      </c>
      <c r="S32" s="56" t="str">
        <f>IF($C32+D32&gt;0,IF($G32&gt;AF32,"X","-"),"")</f>
        <v/>
      </c>
      <c r="T32" s="34" t="str">
        <f t="shared" si="0"/>
        <v/>
      </c>
      <c r="V32" s="12">
        <v>55</v>
      </c>
      <c r="W32" s="12">
        <v>62</v>
      </c>
      <c r="X32" s="12">
        <v>180</v>
      </c>
      <c r="Y32" s="30">
        <v>180</v>
      </c>
      <c r="Z32" s="12">
        <v>180</v>
      </c>
      <c r="AA32" s="12">
        <f t="shared" si="12"/>
        <v>55</v>
      </c>
      <c r="AB32" s="12">
        <v>120</v>
      </c>
      <c r="AC32" s="12">
        <v>380</v>
      </c>
      <c r="AD32" s="12">
        <f t="shared" si="13"/>
        <v>380</v>
      </c>
      <c r="AE32" s="12">
        <v>180</v>
      </c>
      <c r="AF32" s="12">
        <v>120</v>
      </c>
      <c r="AG32" s="12">
        <f t="shared" si="14"/>
        <v>117</v>
      </c>
      <c r="AH32" s="284">
        <f t="shared" si="15"/>
        <v>117.5</v>
      </c>
      <c r="AI32" s="99">
        <f>'analyse import'!J25</f>
        <v>0</v>
      </c>
      <c r="AK32" s="12">
        <f t="shared" si="1"/>
        <v>0</v>
      </c>
    </row>
    <row r="33" spans="2:37">
      <c r="B33" s="11" t="s">
        <v>13</v>
      </c>
      <c r="C33" s="12">
        <f>'analyse import'!H26</f>
        <v>0</v>
      </c>
      <c r="D33" s="12">
        <f>'analyse import'!I26</f>
        <v>0</v>
      </c>
      <c r="E33" s="261" t="str">
        <f>IF(C33&gt;0,omrekenen!H13,"")</f>
        <v/>
      </c>
      <c r="F33" s="262" t="str">
        <f>IF(D33&gt;0,omrekenen!I13,"")</f>
        <v/>
      </c>
      <c r="G33" s="247" t="str">
        <f>IF(C33&gt;0,omrekenen!J13,"")</f>
        <v/>
      </c>
      <c r="H33" s="56" t="str">
        <f t="shared" si="2"/>
        <v/>
      </c>
      <c r="I33" s="56" t="str">
        <f t="shared" si="3"/>
        <v/>
      </c>
      <c r="J33" s="56" t="str">
        <f t="shared" si="4"/>
        <v/>
      </c>
      <c r="K33" s="56" t="str">
        <f t="shared" si="5"/>
        <v/>
      </c>
      <c r="L33" s="56" t="str">
        <f t="shared" si="6"/>
        <v/>
      </c>
      <c r="M33" s="56" t="str">
        <f t="shared" si="7"/>
        <v/>
      </c>
      <c r="N33" s="56" t="str">
        <f t="shared" si="8"/>
        <v/>
      </c>
      <c r="O33" s="56" t="str">
        <f t="shared" si="16"/>
        <v/>
      </c>
      <c r="P33" s="56" t="str">
        <f t="shared" si="9"/>
        <v/>
      </c>
      <c r="Q33" s="56" t="str">
        <f t="shared" si="10"/>
        <v/>
      </c>
      <c r="R33" s="56" t="str">
        <f t="shared" si="11"/>
        <v/>
      </c>
      <c r="S33" s="56" t="s">
        <v>220</v>
      </c>
      <c r="T33" s="34" t="str">
        <f t="shared" si="0"/>
        <v/>
      </c>
      <c r="V33" s="12">
        <v>15</v>
      </c>
      <c r="W33" s="12">
        <v>35</v>
      </c>
      <c r="X33" s="12">
        <v>190</v>
      </c>
      <c r="Y33" s="12">
        <v>190</v>
      </c>
      <c r="Z33" s="12">
        <v>130</v>
      </c>
      <c r="AA33" s="12">
        <f t="shared" si="12"/>
        <v>15</v>
      </c>
      <c r="AB33" s="12">
        <v>25</v>
      </c>
      <c r="AC33" s="12">
        <v>240</v>
      </c>
      <c r="AD33" s="12">
        <f t="shared" si="13"/>
        <v>240</v>
      </c>
      <c r="AE33" s="12">
        <v>130</v>
      </c>
      <c r="AF33" s="12"/>
      <c r="AG33" s="12">
        <f t="shared" si="14"/>
        <v>50</v>
      </c>
      <c r="AH33" s="284">
        <f t="shared" si="15"/>
        <v>102.5</v>
      </c>
      <c r="AI33" s="45">
        <f>'analyse import'!J26</f>
        <v>0</v>
      </c>
      <c r="AK33" s="12">
        <f t="shared" si="1"/>
        <v>0</v>
      </c>
    </row>
    <row r="34" spans="2:37">
      <c r="B34" s="11" t="s">
        <v>14</v>
      </c>
      <c r="C34" s="12">
        <f>'analyse import'!H27</f>
        <v>0</v>
      </c>
      <c r="D34" s="12">
        <f>'analyse import'!I27</f>
        <v>0</v>
      </c>
      <c r="E34" s="272" t="str">
        <f>IF(C34&gt;0,omrekenen!H14,"")</f>
        <v/>
      </c>
      <c r="F34" s="275" t="str">
        <f>IF(D34&gt;0,omrekenen!I14,"")</f>
        <v/>
      </c>
      <c r="G34" s="248" t="str">
        <f>IF(C34&gt;0,omrekenen!J14,"")</f>
        <v/>
      </c>
      <c r="H34" s="56" t="str">
        <f t="shared" si="2"/>
        <v/>
      </c>
      <c r="I34" s="56" t="str">
        <f t="shared" si="3"/>
        <v/>
      </c>
      <c r="J34" s="56" t="str">
        <f t="shared" si="4"/>
        <v/>
      </c>
      <c r="K34" s="56" t="str">
        <f t="shared" si="5"/>
        <v/>
      </c>
      <c r="L34" s="56" t="str">
        <f t="shared" si="6"/>
        <v/>
      </c>
      <c r="M34" s="56" t="str">
        <f t="shared" si="7"/>
        <v/>
      </c>
      <c r="N34" s="56" t="str">
        <f t="shared" si="8"/>
        <v/>
      </c>
      <c r="O34" s="56" t="str">
        <f t="shared" si="16"/>
        <v/>
      </c>
      <c r="P34" s="56" t="str">
        <f t="shared" si="9"/>
        <v/>
      </c>
      <c r="Q34" s="56" t="str">
        <f t="shared" si="10"/>
        <v/>
      </c>
      <c r="R34" s="56" t="str">
        <f t="shared" si="11"/>
        <v/>
      </c>
      <c r="S34" s="56" t="str">
        <f t="shared" ref="S34:S36" si="17">IF($C34+D34&gt;0,IF($G34&gt;AF34,"X","-"),"")</f>
        <v/>
      </c>
      <c r="T34" s="34" t="str">
        <f t="shared" si="0"/>
        <v/>
      </c>
      <c r="V34" s="12">
        <v>40</v>
      </c>
      <c r="W34" s="12">
        <v>54</v>
      </c>
      <c r="X34" s="12">
        <v>190</v>
      </c>
      <c r="Y34" s="12">
        <v>190</v>
      </c>
      <c r="Z34" s="12">
        <v>113</v>
      </c>
      <c r="AA34" s="12">
        <f t="shared" si="12"/>
        <v>40</v>
      </c>
      <c r="AB34" s="12">
        <v>96</v>
      </c>
      <c r="AC34" s="12">
        <v>190</v>
      </c>
      <c r="AD34" s="12">
        <f t="shared" si="13"/>
        <v>190</v>
      </c>
      <c r="AE34" s="12">
        <v>113</v>
      </c>
      <c r="AF34" s="12">
        <v>60</v>
      </c>
      <c r="AG34" s="12">
        <f t="shared" si="14"/>
        <v>94</v>
      </c>
      <c r="AH34" s="284">
        <f t="shared" si="15"/>
        <v>115</v>
      </c>
      <c r="AI34" s="45">
        <f>'analyse import'!J27</f>
        <v>0</v>
      </c>
      <c r="AK34" s="12">
        <f t="shared" si="1"/>
        <v>0</v>
      </c>
    </row>
    <row r="35" spans="2:37">
      <c r="B35" s="11" t="s">
        <v>15</v>
      </c>
      <c r="C35" s="12">
        <f>'analyse import'!H28</f>
        <v>0</v>
      </c>
      <c r="D35" s="12">
        <f>'analyse import'!I28</f>
        <v>0</v>
      </c>
      <c r="E35" s="263" t="str">
        <f>IF(C35&gt;0,omrekenen!H15,"")</f>
        <v/>
      </c>
      <c r="F35" s="264" t="str">
        <f>IF(D35&gt;0,omrekenen!I15,"")</f>
        <v/>
      </c>
      <c r="G35" s="73" t="str">
        <f>IF(C35&gt;0,omrekenen!J15,"")</f>
        <v/>
      </c>
      <c r="H35" s="56" t="str">
        <f t="shared" si="2"/>
        <v/>
      </c>
      <c r="I35" s="56" t="str">
        <f t="shared" si="3"/>
        <v/>
      </c>
      <c r="J35" s="56" t="str">
        <f t="shared" si="4"/>
        <v/>
      </c>
      <c r="K35" s="56" t="str">
        <f t="shared" si="5"/>
        <v/>
      </c>
      <c r="L35" s="56" t="str">
        <f t="shared" si="6"/>
        <v/>
      </c>
      <c r="M35" s="56" t="str">
        <f t="shared" si="7"/>
        <v/>
      </c>
      <c r="N35" s="56" t="str">
        <f t="shared" si="8"/>
        <v/>
      </c>
      <c r="O35" s="56" t="str">
        <f t="shared" si="16"/>
        <v/>
      </c>
      <c r="P35" s="56" t="str">
        <f t="shared" si="9"/>
        <v/>
      </c>
      <c r="Q35" s="56" t="str">
        <f t="shared" si="10"/>
        <v/>
      </c>
      <c r="R35" s="56" t="str">
        <f t="shared" si="11"/>
        <v/>
      </c>
      <c r="S35" s="56" t="str">
        <f t="shared" si="17"/>
        <v/>
      </c>
      <c r="T35" s="34" t="str">
        <f t="shared" si="0"/>
        <v/>
      </c>
      <c r="V35" s="12">
        <v>0.15</v>
      </c>
      <c r="W35" s="12">
        <v>0.83</v>
      </c>
      <c r="X35" s="12">
        <v>4.8</v>
      </c>
      <c r="Y35" s="30">
        <v>36</v>
      </c>
      <c r="Z35" s="12">
        <v>4.8</v>
      </c>
      <c r="AA35" s="12">
        <f t="shared" si="12"/>
        <v>0.15</v>
      </c>
      <c r="AB35" s="12">
        <v>1.2</v>
      </c>
      <c r="AC35" s="12">
        <v>10</v>
      </c>
      <c r="AD35" s="12">
        <f t="shared" si="13"/>
        <v>10</v>
      </c>
      <c r="AE35" s="12">
        <v>4.8</v>
      </c>
      <c r="AF35" s="12">
        <v>1.2</v>
      </c>
      <c r="AG35" s="12">
        <f t="shared" si="14"/>
        <v>0.98</v>
      </c>
      <c r="AH35" s="284">
        <f t="shared" si="15"/>
        <v>18.074999999999999</v>
      </c>
      <c r="AI35" s="45">
        <f>'analyse import'!J28</f>
        <v>0</v>
      </c>
      <c r="AK35" s="12">
        <f t="shared" si="1"/>
        <v>0</v>
      </c>
    </row>
    <row r="36" spans="2:37">
      <c r="B36" s="11" t="s">
        <v>16</v>
      </c>
      <c r="C36" s="12">
        <f>'analyse import'!H29</f>
        <v>0</v>
      </c>
      <c r="D36" s="12">
        <f>'analyse import'!I29</f>
        <v>0</v>
      </c>
      <c r="E36" s="272" t="str">
        <f>IF(C36&gt;0,omrekenen!H16,"")</f>
        <v/>
      </c>
      <c r="F36" s="275" t="str">
        <f>IF(D36&gt;0,omrekenen!I16,"")</f>
        <v/>
      </c>
      <c r="G36" s="248" t="str">
        <f>IF(C36&gt;0,omrekenen!J16,"")</f>
        <v/>
      </c>
      <c r="H36" s="56" t="str">
        <f t="shared" si="2"/>
        <v/>
      </c>
      <c r="I36" s="56" t="str">
        <f t="shared" si="3"/>
        <v/>
      </c>
      <c r="J36" s="56" t="str">
        <f t="shared" si="4"/>
        <v/>
      </c>
      <c r="K36" s="56" t="str">
        <f t="shared" si="5"/>
        <v/>
      </c>
      <c r="L36" s="56" t="str">
        <f t="shared" si="6"/>
        <v/>
      </c>
      <c r="M36" s="56" t="str">
        <f t="shared" si="7"/>
        <v/>
      </c>
      <c r="N36" s="56" t="str">
        <f t="shared" si="8"/>
        <v/>
      </c>
      <c r="O36" s="56" t="str">
        <f t="shared" si="16"/>
        <v/>
      </c>
      <c r="P36" s="56" t="str">
        <f t="shared" si="9"/>
        <v/>
      </c>
      <c r="Q36" s="56" t="str">
        <f t="shared" si="10"/>
        <v/>
      </c>
      <c r="R36" s="56" t="str">
        <f t="shared" si="11"/>
        <v/>
      </c>
      <c r="S36" s="56" t="str">
        <f t="shared" si="17"/>
        <v/>
      </c>
      <c r="T36" s="34" t="str">
        <f t="shared" si="0"/>
        <v/>
      </c>
      <c r="V36" s="12">
        <v>50</v>
      </c>
      <c r="W36" s="12">
        <v>210</v>
      </c>
      <c r="X36" s="12">
        <v>530</v>
      </c>
      <c r="Y36" s="12">
        <v>530</v>
      </c>
      <c r="Z36" s="12">
        <v>308</v>
      </c>
      <c r="AA36" s="12">
        <f t="shared" si="12"/>
        <v>50</v>
      </c>
      <c r="AB36" s="12">
        <v>138</v>
      </c>
      <c r="AC36" s="12">
        <v>580</v>
      </c>
      <c r="AD36" s="12">
        <f t="shared" si="13"/>
        <v>580</v>
      </c>
      <c r="AE36" s="12">
        <v>308</v>
      </c>
      <c r="AF36" s="12">
        <v>110</v>
      </c>
      <c r="AG36" s="12">
        <f t="shared" si="14"/>
        <v>260</v>
      </c>
      <c r="AH36" s="284">
        <f t="shared" si="15"/>
        <v>290</v>
      </c>
      <c r="AI36" s="45">
        <f>'analyse import'!J29</f>
        <v>0</v>
      </c>
      <c r="AK36" s="12">
        <f t="shared" si="1"/>
        <v>0</v>
      </c>
    </row>
    <row r="37" spans="2:37">
      <c r="B37" s="11" t="s">
        <v>17</v>
      </c>
      <c r="C37" s="12">
        <f>'analyse import'!H30</f>
        <v>0</v>
      </c>
      <c r="D37" s="12">
        <f>'analyse import'!I30</f>
        <v>0</v>
      </c>
      <c r="E37" s="261" t="str">
        <f>IF(C37&gt;0,omrekenen!H17,"")</f>
        <v/>
      </c>
      <c r="F37" s="262" t="str">
        <f>IF(D37&gt;0,omrekenen!I17,"")</f>
        <v/>
      </c>
      <c r="G37" s="73" t="str">
        <f>IF(C37&gt;0,omrekenen!J17,"")</f>
        <v/>
      </c>
      <c r="H37" s="56" t="str">
        <f t="shared" si="2"/>
        <v/>
      </c>
      <c r="I37" s="56" t="str">
        <f t="shared" si="3"/>
        <v/>
      </c>
      <c r="J37" s="56" t="str">
        <f t="shared" si="4"/>
        <v/>
      </c>
      <c r="K37" s="56" t="str">
        <f t="shared" si="5"/>
        <v/>
      </c>
      <c r="L37" s="56" t="str">
        <f t="shared" si="6"/>
        <v/>
      </c>
      <c r="M37" s="56" t="str">
        <f t="shared" si="7"/>
        <v/>
      </c>
      <c r="N37" s="56" t="str">
        <f t="shared" si="8"/>
        <v/>
      </c>
      <c r="O37" s="56" t="str">
        <f t="shared" si="16"/>
        <v/>
      </c>
      <c r="P37" s="56" t="str">
        <f t="shared" si="9"/>
        <v/>
      </c>
      <c r="Q37" s="56" t="str">
        <f t="shared" si="10"/>
        <v/>
      </c>
      <c r="R37" s="56" t="str">
        <f t="shared" si="11"/>
        <v/>
      </c>
      <c r="S37" s="56" t="s">
        <v>220</v>
      </c>
      <c r="T37" s="34" t="str">
        <f t="shared" si="0"/>
        <v/>
      </c>
      <c r="V37" s="12">
        <v>1.5</v>
      </c>
      <c r="W37" s="12">
        <v>88</v>
      </c>
      <c r="X37" s="12">
        <v>190</v>
      </c>
      <c r="Y37" s="12">
        <v>190</v>
      </c>
      <c r="Z37" s="12">
        <v>105</v>
      </c>
      <c r="AA37" s="12">
        <f t="shared" si="12"/>
        <v>1.5</v>
      </c>
      <c r="AB37" s="12">
        <v>5</v>
      </c>
      <c r="AC37" s="12">
        <v>200</v>
      </c>
      <c r="AD37" s="12">
        <f t="shared" si="13"/>
        <v>200</v>
      </c>
      <c r="AE37" s="12">
        <v>105</v>
      </c>
      <c r="AF37" s="12"/>
      <c r="AG37" s="12">
        <f t="shared" si="14"/>
        <v>89.5</v>
      </c>
      <c r="AH37" s="284">
        <f t="shared" si="15"/>
        <v>95.75</v>
      </c>
      <c r="AI37" s="45">
        <f>'analyse import'!J30</f>
        <v>0</v>
      </c>
      <c r="AK37" s="12">
        <f t="shared" si="1"/>
        <v>0</v>
      </c>
    </row>
    <row r="38" spans="2:37">
      <c r="B38" s="11" t="s">
        <v>18</v>
      </c>
      <c r="C38" s="12">
        <f>'analyse import'!H31</f>
        <v>0</v>
      </c>
      <c r="D38" s="12">
        <f>'analyse import'!I31</f>
        <v>0</v>
      </c>
      <c r="E38" s="261" t="str">
        <f>IF(C38&gt;0,omrekenen!H18,"")</f>
        <v/>
      </c>
      <c r="F38" s="262" t="str">
        <f>IF(D38&gt;0,omrekenen!I18,"")</f>
        <v/>
      </c>
      <c r="G38" s="248" t="str">
        <f>IF(C38&gt;0,omrekenen!J18,"")</f>
        <v/>
      </c>
      <c r="H38" s="56" t="str">
        <f t="shared" si="2"/>
        <v/>
      </c>
      <c r="I38" s="56" t="str">
        <f t="shared" si="3"/>
        <v/>
      </c>
      <c r="J38" s="56" t="str">
        <f t="shared" si="4"/>
        <v/>
      </c>
      <c r="K38" s="56" t="str">
        <f t="shared" si="5"/>
        <v/>
      </c>
      <c r="L38" s="56" t="str">
        <f t="shared" si="6"/>
        <v/>
      </c>
      <c r="M38" s="56" t="str">
        <f t="shared" si="7"/>
        <v/>
      </c>
      <c r="N38" s="56" t="str">
        <f t="shared" si="8"/>
        <v/>
      </c>
      <c r="O38" s="56" t="str">
        <f t="shared" si="16"/>
        <v/>
      </c>
      <c r="P38" s="56" t="str">
        <f t="shared" si="9"/>
        <v/>
      </c>
      <c r="Q38" s="56" t="str">
        <f t="shared" si="10"/>
        <v/>
      </c>
      <c r="R38" s="56" t="str">
        <f t="shared" si="11"/>
        <v/>
      </c>
      <c r="S38" s="56" t="str">
        <f>IF($C38+D38&gt;0,IF($G38&gt;AF38,"X","-"),"")</f>
        <v/>
      </c>
      <c r="T38" s="34" t="str">
        <f t="shared" si="0"/>
        <v/>
      </c>
      <c r="V38" s="12">
        <v>35</v>
      </c>
      <c r="W38" s="12">
        <v>39</v>
      </c>
      <c r="X38" s="12">
        <v>100</v>
      </c>
      <c r="Y38" s="12">
        <v>100</v>
      </c>
      <c r="Z38" s="12">
        <v>100</v>
      </c>
      <c r="AA38" s="12">
        <f t="shared" si="12"/>
        <v>35</v>
      </c>
      <c r="AB38" s="12">
        <v>50</v>
      </c>
      <c r="AC38" s="12">
        <v>210</v>
      </c>
      <c r="AD38" s="12">
        <f t="shared" si="13"/>
        <v>210</v>
      </c>
      <c r="AE38" s="12">
        <v>100</v>
      </c>
      <c r="AF38" s="12">
        <v>45</v>
      </c>
      <c r="AG38" s="12">
        <f t="shared" si="14"/>
        <v>74</v>
      </c>
      <c r="AH38" s="284">
        <f t="shared" si="15"/>
        <v>67.5</v>
      </c>
      <c r="AI38" s="45">
        <f>'analyse import'!J31</f>
        <v>0</v>
      </c>
      <c r="AK38" s="12">
        <f t="shared" si="1"/>
        <v>0</v>
      </c>
    </row>
    <row r="39" spans="2:37">
      <c r="B39" s="11" t="s">
        <v>19</v>
      </c>
      <c r="C39" s="12">
        <f>'analyse import'!H32</f>
        <v>0</v>
      </c>
      <c r="D39" s="12">
        <f>'analyse import'!I32</f>
        <v>0</v>
      </c>
      <c r="E39" s="261" t="str">
        <f>IF(C39&gt;0,omrekenen!H19,"")</f>
        <v/>
      </c>
      <c r="F39" s="262" t="str">
        <f>IF(D39&gt;0,omrekenen!I19,"")</f>
        <v/>
      </c>
      <c r="G39" s="73" t="str">
        <f>IF(C39&gt;0,omrekenen!J19,"")</f>
        <v/>
      </c>
      <c r="H39" s="56" t="str">
        <f t="shared" si="2"/>
        <v/>
      </c>
      <c r="I39" s="56" t="str">
        <f t="shared" si="3"/>
        <v/>
      </c>
      <c r="J39" s="56" t="str">
        <f t="shared" si="4"/>
        <v/>
      </c>
      <c r="K39" s="56" t="str">
        <f t="shared" si="5"/>
        <v/>
      </c>
      <c r="L39" s="56" t="str">
        <f t="shared" si="6"/>
        <v/>
      </c>
      <c r="M39" s="56" t="str">
        <f t="shared" si="7"/>
        <v/>
      </c>
      <c r="N39" s="56" t="str">
        <f t="shared" si="8"/>
        <v/>
      </c>
      <c r="O39" s="56" t="s">
        <v>220</v>
      </c>
      <c r="P39" s="56" t="s">
        <v>220</v>
      </c>
      <c r="Q39" s="56" t="s">
        <v>220</v>
      </c>
      <c r="R39" s="56" t="str">
        <f t="shared" si="11"/>
        <v/>
      </c>
      <c r="S39" s="56" t="s">
        <v>220</v>
      </c>
      <c r="T39" s="34" t="str">
        <f t="shared" si="0"/>
        <v/>
      </c>
      <c r="V39" s="12">
        <v>6.5</v>
      </c>
      <c r="W39" s="12">
        <v>180</v>
      </c>
      <c r="X39" s="12">
        <v>900</v>
      </c>
      <c r="Y39" s="12">
        <v>900</v>
      </c>
      <c r="Z39" s="12">
        <v>450</v>
      </c>
      <c r="AA39" s="12">
        <f t="shared" si="12"/>
        <v>6.5</v>
      </c>
      <c r="AE39" s="12">
        <v>450</v>
      </c>
      <c r="AF39" s="12"/>
      <c r="AG39" s="12">
        <f t="shared" si="14"/>
        <v>186.5</v>
      </c>
      <c r="AH39" s="284">
        <f t="shared" si="15"/>
        <v>453.25</v>
      </c>
      <c r="AI39" s="99">
        <f>'analyse import'!J32</f>
        <v>0</v>
      </c>
      <c r="AK39" s="12">
        <f t="shared" si="1"/>
        <v>0</v>
      </c>
    </row>
    <row r="40" spans="2:37">
      <c r="B40" s="11" t="s">
        <v>20</v>
      </c>
      <c r="C40" s="12">
        <f>'analyse import'!H33</f>
        <v>0</v>
      </c>
      <c r="D40" s="12">
        <f>'analyse import'!I33</f>
        <v>0</v>
      </c>
      <c r="E40" s="261" t="str">
        <f>IF(C40&gt;0,omrekenen!H20,"")</f>
        <v/>
      </c>
      <c r="F40" s="262" t="str">
        <f>IF(D40&gt;0,omrekenen!I20,"")</f>
        <v/>
      </c>
      <c r="G40" s="73" t="str">
        <f>IF(C40&gt;0,omrekenen!J20,"")</f>
        <v/>
      </c>
      <c r="H40" s="56" t="str">
        <f t="shared" si="2"/>
        <v/>
      </c>
      <c r="I40" s="56" t="str">
        <f t="shared" si="3"/>
        <v/>
      </c>
      <c r="J40" s="56" t="str">
        <f t="shared" si="4"/>
        <v/>
      </c>
      <c r="K40" s="56" t="str">
        <f t="shared" si="5"/>
        <v/>
      </c>
      <c r="L40" s="56" t="str">
        <f t="shared" si="6"/>
        <v/>
      </c>
      <c r="M40" s="56" t="str">
        <f t="shared" si="7"/>
        <v/>
      </c>
      <c r="N40" s="56" t="str">
        <f t="shared" si="8"/>
        <v/>
      </c>
      <c r="O40" s="56" t="s">
        <v>220</v>
      </c>
      <c r="P40" s="56" t="s">
        <v>220</v>
      </c>
      <c r="Q40" s="56" t="s">
        <v>220</v>
      </c>
      <c r="R40" s="56" t="str">
        <f t="shared" si="11"/>
        <v/>
      </c>
      <c r="S40" s="56" t="s">
        <v>220</v>
      </c>
      <c r="T40" s="34" t="str">
        <f t="shared" si="0"/>
        <v/>
      </c>
      <c r="V40" s="12">
        <v>80</v>
      </c>
      <c r="W40" s="12">
        <v>97</v>
      </c>
      <c r="X40" s="12">
        <v>250</v>
      </c>
      <c r="Y40" s="12">
        <v>250</v>
      </c>
      <c r="Z40" s="12">
        <v>146</v>
      </c>
      <c r="AA40" s="12">
        <f t="shared" si="12"/>
        <v>80</v>
      </c>
      <c r="AE40" s="12">
        <v>146</v>
      </c>
      <c r="AF40" s="12"/>
      <c r="AG40" s="12">
        <f t="shared" si="14"/>
        <v>177</v>
      </c>
      <c r="AH40" s="284">
        <f t="shared" si="15"/>
        <v>165</v>
      </c>
      <c r="AI40" s="99">
        <f>'analyse import'!J33</f>
        <v>0</v>
      </c>
      <c r="AK40" s="12">
        <f t="shared" si="1"/>
        <v>0</v>
      </c>
    </row>
    <row r="41" spans="2:37">
      <c r="B41" s="11" t="s">
        <v>21</v>
      </c>
      <c r="C41" s="12">
        <f>'analyse import'!H34</f>
        <v>0</v>
      </c>
      <c r="D41" s="12">
        <f>'analyse import'!I34</f>
        <v>0</v>
      </c>
      <c r="E41" s="261" t="str">
        <f>IF(C41&gt;0,omrekenen!H21,"")</f>
        <v/>
      </c>
      <c r="F41" s="262" t="str">
        <f>IF(D41&gt;0,omrekenen!I21,"")</f>
        <v/>
      </c>
      <c r="G41" s="248" t="str">
        <f>IF(C41&gt;0,omrekenen!J21,"")</f>
        <v/>
      </c>
      <c r="H41" s="56" t="str">
        <f t="shared" si="2"/>
        <v/>
      </c>
      <c r="I41" s="56" t="str">
        <f t="shared" si="3"/>
        <v/>
      </c>
      <c r="J41" s="56" t="str">
        <f t="shared" si="4"/>
        <v/>
      </c>
      <c r="K41" s="56" t="str">
        <f t="shared" si="5"/>
        <v/>
      </c>
      <c r="L41" s="56" t="str">
        <f t="shared" si="6"/>
        <v/>
      </c>
      <c r="M41" s="56" t="str">
        <f t="shared" si="7"/>
        <v/>
      </c>
      <c r="N41" s="56" t="str">
        <f t="shared" si="8"/>
        <v/>
      </c>
      <c r="O41" s="56" t="str">
        <f>IF($C41+D41&gt;0,IF($G41&gt;AB41,"X","-"),"")</f>
        <v/>
      </c>
      <c r="P41" s="56" t="str">
        <f>IF($C41+D41&gt;0,IF($G41&gt;AC41,"X","-"),"")</f>
        <v/>
      </c>
      <c r="Q41" s="56" t="str">
        <f>IF($C41+D41&gt;0,IF($G41&gt;AD41,"X","-"),"")</f>
        <v/>
      </c>
      <c r="R41" s="56" t="str">
        <f t="shared" si="11"/>
        <v/>
      </c>
      <c r="S41" s="56" t="str">
        <f>IF($C41&gt;0,IF($G41&gt;AF41,"X","-"),"")</f>
        <v/>
      </c>
      <c r="T41" s="34" t="str">
        <f t="shared" si="0"/>
        <v/>
      </c>
      <c r="V41" s="12">
        <v>140</v>
      </c>
      <c r="W41" s="12">
        <v>200</v>
      </c>
      <c r="X41" s="12">
        <v>720</v>
      </c>
      <c r="Y41" s="12">
        <v>720</v>
      </c>
      <c r="Z41" s="12">
        <v>430</v>
      </c>
      <c r="AA41" s="12">
        <f t="shared" si="12"/>
        <v>140</v>
      </c>
      <c r="AB41" s="12">
        <v>563</v>
      </c>
      <c r="AC41" s="12">
        <v>2000</v>
      </c>
      <c r="AD41" s="12">
        <f t="shared" si="13"/>
        <v>2000</v>
      </c>
      <c r="AE41" s="12">
        <v>430</v>
      </c>
      <c r="AF41" s="12">
        <v>365</v>
      </c>
      <c r="AG41" s="12">
        <f t="shared" si="14"/>
        <v>340</v>
      </c>
      <c r="AH41" s="284">
        <f t="shared" si="15"/>
        <v>430</v>
      </c>
      <c r="AI41" s="45">
        <f>'analyse import'!J34</f>
        <v>0</v>
      </c>
      <c r="AK41" s="12">
        <f t="shared" si="1"/>
        <v>0</v>
      </c>
    </row>
    <row r="42" spans="2:37">
      <c r="C42" s="12"/>
      <c r="D42" s="12"/>
      <c r="E42" s="276"/>
      <c r="F42" s="277"/>
      <c r="G42" s="71"/>
      <c r="AF42" s="12"/>
      <c r="AI42" s="99">
        <f>AI43</f>
        <v>0</v>
      </c>
      <c r="AK42" s="12"/>
    </row>
    <row r="43" spans="2:37">
      <c r="B43" s="35" t="s">
        <v>168</v>
      </c>
      <c r="C43" s="12"/>
      <c r="D43" s="12"/>
      <c r="E43" s="276"/>
      <c r="F43" s="277"/>
      <c r="G43" s="71"/>
      <c r="AF43" s="12"/>
      <c r="AI43" s="45">
        <f>IF(SUM(AI44:AI57)&gt;0,1,0)</f>
        <v>0</v>
      </c>
      <c r="AK43" s="12"/>
    </row>
    <row r="44" spans="2:37">
      <c r="B44" s="11" t="s">
        <v>9</v>
      </c>
      <c r="C44" s="12">
        <f>'analyse import'!H37</f>
        <v>0</v>
      </c>
      <c r="D44" s="12">
        <f>'analyse import'!I37</f>
        <v>0</v>
      </c>
      <c r="E44" s="278"/>
      <c r="F44" s="279"/>
      <c r="G44" s="244" t="str">
        <f>IF(C44+D44&gt;0,'analyse import'!L37,"")</f>
        <v/>
      </c>
      <c r="M44" s="56" t="str">
        <f>IF($G44="","",IF($G44&gt;$Z44,"X","-"))</f>
        <v/>
      </c>
      <c r="N44" s="56"/>
      <c r="R44" s="56" t="str">
        <f>M44</f>
        <v/>
      </c>
      <c r="T44" s="34" t="str">
        <f t="shared" ref="T44:T49" si="18">IF(C44*D44&gt;0,MAX(C44:D44)/MIN(C44:D44),"")</f>
        <v/>
      </c>
      <c r="Z44" s="76">
        <f>AE44</f>
        <v>7.0000000000000007E-2</v>
      </c>
      <c r="AA44" s="76"/>
      <c r="AE44" s="76">
        <v>7.0000000000000007E-2</v>
      </c>
      <c r="AF44" s="12"/>
      <c r="AI44" s="99">
        <f>'analyse import'!J37/1</f>
        <v>0</v>
      </c>
      <c r="AK44" s="12"/>
    </row>
    <row r="45" spans="2:37">
      <c r="B45" s="11" t="s">
        <v>10</v>
      </c>
      <c r="C45" s="12">
        <f>'analyse import'!H38</f>
        <v>0</v>
      </c>
      <c r="D45" s="12">
        <f>'analyse import'!I38</f>
        <v>0</v>
      </c>
      <c r="E45" s="278"/>
      <c r="F45" s="279"/>
      <c r="G45" s="244" t="str">
        <f>IF(C45+D45&gt;0,'analyse import'!L38,"")</f>
        <v/>
      </c>
      <c r="M45" s="56" t="str">
        <f>IF($G45="","",IF($G45&gt;$Z45,"X","-"))</f>
        <v/>
      </c>
      <c r="N45" s="56"/>
      <c r="R45" s="56" t="str">
        <f t="shared" ref="R45:R57" si="19">M45</f>
        <v/>
      </c>
      <c r="T45" s="34" t="str">
        <f t="shared" si="18"/>
        <v/>
      </c>
      <c r="Z45" s="76">
        <f t="shared" ref="Z45:Z57" si="20">AE45</f>
        <v>0.61</v>
      </c>
      <c r="AA45" s="76"/>
      <c r="AE45" s="76">
        <v>0.61</v>
      </c>
      <c r="AF45" s="12"/>
      <c r="AI45" s="99">
        <f>'analyse import'!J38/1</f>
        <v>0</v>
      </c>
      <c r="AK45" s="12"/>
    </row>
    <row r="46" spans="2:37">
      <c r="B46" s="11" t="s">
        <v>11</v>
      </c>
      <c r="C46" s="12">
        <f>'analyse import'!H39</f>
        <v>0</v>
      </c>
      <c r="D46" s="12">
        <f>'analyse import'!I39</f>
        <v>0</v>
      </c>
      <c r="E46" s="278"/>
      <c r="F46" s="279"/>
      <c r="G46" s="244" t="str">
        <f>IF(C46+D46&gt;0,'analyse import'!L39,"")</f>
        <v/>
      </c>
      <c r="M46" s="56" t="str">
        <f t="shared" ref="M46:M57" si="21">IF($G46="","",IF($G46&gt;Z46,"X","-"))</f>
        <v/>
      </c>
      <c r="N46" s="56"/>
      <c r="R46" s="56" t="str">
        <f t="shared" si="19"/>
        <v/>
      </c>
      <c r="T46" s="34" t="str">
        <f t="shared" si="18"/>
        <v/>
      </c>
      <c r="Z46" s="76">
        <f t="shared" si="20"/>
        <v>4.0999999999999996</v>
      </c>
      <c r="AA46" s="76"/>
      <c r="AE46" s="76">
        <v>4.0999999999999996</v>
      </c>
      <c r="AF46" s="12"/>
      <c r="AI46" s="99">
        <f>'analyse import'!J39/1</f>
        <v>0</v>
      </c>
      <c r="AK46" s="12"/>
    </row>
    <row r="47" spans="2:37">
      <c r="B47" s="11" t="s">
        <v>12</v>
      </c>
      <c r="C47" s="12">
        <f>'analyse import'!H40</f>
        <v>0</v>
      </c>
      <c r="D47" s="12">
        <f>'analyse import'!I40</f>
        <v>0</v>
      </c>
      <c r="E47" s="278"/>
      <c r="F47" s="279"/>
      <c r="G47" s="244" t="str">
        <f>IF(C47+D47&gt;0,'analyse import'!L40,"")</f>
        <v/>
      </c>
      <c r="M47" s="56" t="str">
        <f t="shared" si="21"/>
        <v/>
      </c>
      <c r="N47" s="56"/>
      <c r="R47" s="56" t="str">
        <f t="shared" si="19"/>
        <v/>
      </c>
      <c r="T47" s="34" t="str">
        <f t="shared" si="18"/>
        <v/>
      </c>
      <c r="Z47" s="76">
        <f t="shared" si="20"/>
        <v>5.0999999999999997E-2</v>
      </c>
      <c r="AA47" s="76"/>
      <c r="AE47" s="76">
        <v>5.0999999999999997E-2</v>
      </c>
      <c r="AF47" s="12"/>
      <c r="AI47" s="99">
        <f>'analyse import'!J40/1</f>
        <v>0</v>
      </c>
      <c r="AK47" s="12"/>
    </row>
    <row r="48" spans="2:37">
      <c r="B48" s="11" t="s">
        <v>163</v>
      </c>
      <c r="C48" s="12">
        <f>'analyse import'!H41</f>
        <v>0</v>
      </c>
      <c r="D48" s="12">
        <f>'analyse import'!I41</f>
        <v>0</v>
      </c>
      <c r="E48" s="278"/>
      <c r="F48" s="279"/>
      <c r="G48" s="244" t="str">
        <f>IF(C48+D48&gt;0,'analyse import'!L41,"")</f>
        <v/>
      </c>
      <c r="M48" s="56" t="str">
        <f t="shared" si="21"/>
        <v/>
      </c>
      <c r="N48" s="56"/>
      <c r="R48" s="56" t="str">
        <f t="shared" si="19"/>
        <v/>
      </c>
      <c r="T48" s="34" t="str">
        <f t="shared" si="18"/>
        <v/>
      </c>
      <c r="Z48" s="76">
        <f t="shared" si="20"/>
        <v>0.17</v>
      </c>
      <c r="AA48" s="76"/>
      <c r="AE48" s="76">
        <v>0.17</v>
      </c>
      <c r="AF48" s="12"/>
      <c r="AI48" s="99">
        <f>'analyse import'!J41/1</f>
        <v>0</v>
      </c>
      <c r="AK48" s="12"/>
    </row>
    <row r="49" spans="1:37">
      <c r="B49" s="11" t="s">
        <v>13</v>
      </c>
      <c r="C49" s="12">
        <f>'analyse import'!H42</f>
        <v>0</v>
      </c>
      <c r="D49" s="12">
        <f>'analyse import'!I42</f>
        <v>0</v>
      </c>
      <c r="E49" s="278"/>
      <c r="F49" s="279"/>
      <c r="G49" s="244" t="str">
        <f>IF(C49+D49&gt;0,'analyse import'!L42,"")</f>
        <v/>
      </c>
      <c r="M49" s="56" t="str">
        <f t="shared" si="21"/>
        <v/>
      </c>
      <c r="N49" s="56"/>
      <c r="R49" s="56" t="str">
        <f t="shared" si="19"/>
        <v/>
      </c>
      <c r="T49" s="34" t="str">
        <f t="shared" si="18"/>
        <v/>
      </c>
      <c r="Z49" s="76">
        <f t="shared" si="20"/>
        <v>0.24</v>
      </c>
      <c r="AA49" s="76"/>
      <c r="AE49" s="76">
        <v>0.24</v>
      </c>
      <c r="AF49" s="12"/>
      <c r="AI49" s="99">
        <f>'analyse import'!J42/1</f>
        <v>0</v>
      </c>
      <c r="AK49" s="12"/>
    </row>
    <row r="50" spans="1:37">
      <c r="B50" s="11" t="s">
        <v>14</v>
      </c>
      <c r="C50" s="12">
        <f>'analyse import'!H43</f>
        <v>0</v>
      </c>
      <c r="D50" s="12">
        <f>'analyse import'!I43</f>
        <v>0</v>
      </c>
      <c r="E50" s="278"/>
      <c r="F50" s="279"/>
      <c r="G50" s="244" t="str">
        <f>IF(C50+D50&gt;0,'analyse import'!L43,"")</f>
        <v/>
      </c>
      <c r="M50" s="56" t="str">
        <f t="shared" si="21"/>
        <v/>
      </c>
      <c r="N50" s="56"/>
      <c r="R50" s="56" t="str">
        <f t="shared" si="19"/>
        <v/>
      </c>
      <c r="T50" s="34" t="str">
        <f>IF(C50*D50&gt;0,MAX(C50:D50)/MIN(C50:D50),"")</f>
        <v/>
      </c>
      <c r="Z50" s="76">
        <f t="shared" si="20"/>
        <v>1</v>
      </c>
      <c r="AA50" s="76"/>
      <c r="AE50" s="76">
        <v>1</v>
      </c>
      <c r="AF50" s="12"/>
      <c r="AI50" s="99">
        <f>'analyse import'!J43/1</f>
        <v>0</v>
      </c>
      <c r="AK50" s="12"/>
    </row>
    <row r="51" spans="1:37">
      <c r="B51" s="11" t="s">
        <v>15</v>
      </c>
      <c r="C51" s="12">
        <f>'analyse import'!H44</f>
        <v>0</v>
      </c>
      <c r="D51" s="12">
        <f>'analyse import'!I44</f>
        <v>0</v>
      </c>
      <c r="E51" s="278"/>
      <c r="F51" s="279"/>
      <c r="G51" s="244" t="str">
        <f>IF(C51+D51&gt;0,'analyse import'!L44,"")</f>
        <v/>
      </c>
      <c r="M51" s="56" t="str">
        <f t="shared" si="21"/>
        <v/>
      </c>
      <c r="N51" s="56"/>
      <c r="R51" s="56" t="str">
        <f t="shared" si="19"/>
        <v/>
      </c>
      <c r="T51" s="34" t="str">
        <f t="shared" ref="T51:T57" si="22">IF(C51*D51&gt;0,MAX(C51:D51)/MIN(C51:D51),"")</f>
        <v/>
      </c>
      <c r="Z51" s="76">
        <f t="shared" si="20"/>
        <v>0.49</v>
      </c>
      <c r="AA51" s="76"/>
      <c r="AE51" s="76">
        <v>0.49</v>
      </c>
      <c r="AF51" s="12"/>
      <c r="AI51" s="99">
        <f>'analyse import'!J44/1</f>
        <v>0</v>
      </c>
      <c r="AK51" s="12"/>
    </row>
    <row r="52" spans="1:37">
      <c r="B52" s="11" t="s">
        <v>16</v>
      </c>
      <c r="C52" s="12">
        <f>'analyse import'!H45</f>
        <v>0</v>
      </c>
      <c r="D52" s="12">
        <f>'analyse import'!I45</f>
        <v>0</v>
      </c>
      <c r="E52" s="278"/>
      <c r="F52" s="279"/>
      <c r="G52" s="244" t="str">
        <f>IF(C52+D52&gt;0,'analyse import'!L45,"")</f>
        <v/>
      </c>
      <c r="M52" s="56" t="str">
        <f t="shared" si="21"/>
        <v/>
      </c>
      <c r="N52" s="56"/>
      <c r="R52" s="56" t="str">
        <f t="shared" si="19"/>
        <v/>
      </c>
      <c r="T52" s="34" t="str">
        <f t="shared" si="22"/>
        <v/>
      </c>
      <c r="Z52" s="76">
        <f t="shared" si="20"/>
        <v>15</v>
      </c>
      <c r="AA52" s="76"/>
      <c r="AE52" s="76">
        <v>15</v>
      </c>
      <c r="AF52" s="12"/>
      <c r="AI52" s="99">
        <f>'analyse import'!J45/1</f>
        <v>0</v>
      </c>
      <c r="AK52" s="12"/>
    </row>
    <row r="53" spans="1:37">
      <c r="B53" s="11" t="s">
        <v>17</v>
      </c>
      <c r="C53" s="12">
        <f>'analyse import'!H46</f>
        <v>0</v>
      </c>
      <c r="D53" s="12">
        <f>'analyse import'!I46</f>
        <v>0</v>
      </c>
      <c r="E53" s="278"/>
      <c r="F53" s="279"/>
      <c r="G53" s="244" t="str">
        <f>IF(C53+D53&gt;0,'analyse import'!L46,"")</f>
        <v/>
      </c>
      <c r="M53" s="56" t="str">
        <f t="shared" si="21"/>
        <v/>
      </c>
      <c r="N53" s="56"/>
      <c r="R53" s="56" t="str">
        <f t="shared" si="19"/>
        <v/>
      </c>
      <c r="T53" s="34" t="str">
        <f t="shared" si="22"/>
        <v/>
      </c>
      <c r="Z53" s="76">
        <f t="shared" si="20"/>
        <v>0.48</v>
      </c>
      <c r="AA53" s="76"/>
      <c r="AE53" s="76">
        <v>0.48</v>
      </c>
      <c r="AF53" s="12"/>
      <c r="AI53" s="99">
        <f>'analyse import'!J46/1</f>
        <v>0</v>
      </c>
      <c r="AK53" s="12"/>
    </row>
    <row r="54" spans="1:37">
      <c r="B54" s="11" t="s">
        <v>18</v>
      </c>
      <c r="C54" s="12">
        <f>'analyse import'!H47</f>
        <v>0</v>
      </c>
      <c r="D54" s="12">
        <f>'analyse import'!I47</f>
        <v>0</v>
      </c>
      <c r="E54" s="278"/>
      <c r="F54" s="279"/>
      <c r="G54" s="244" t="str">
        <f>IF(C54+D54&gt;0,'analyse import'!L47,"")</f>
        <v/>
      </c>
      <c r="M54" s="56" t="str">
        <f t="shared" si="21"/>
        <v/>
      </c>
      <c r="N54" s="56"/>
      <c r="R54" s="56" t="str">
        <f t="shared" si="19"/>
        <v/>
      </c>
      <c r="T54" s="34" t="str">
        <f t="shared" si="22"/>
        <v/>
      </c>
      <c r="Z54" s="76">
        <f t="shared" si="20"/>
        <v>0.21</v>
      </c>
      <c r="AA54" s="76"/>
      <c r="AE54" s="76">
        <v>0.21</v>
      </c>
      <c r="AF54" s="12"/>
      <c r="AI54" s="99">
        <f>'analyse import'!J47/1</f>
        <v>0</v>
      </c>
      <c r="AK54" s="12"/>
    </row>
    <row r="55" spans="1:37">
      <c r="B55" s="11" t="s">
        <v>19</v>
      </c>
      <c r="C55" s="12">
        <f>'analyse import'!H49</f>
        <v>0</v>
      </c>
      <c r="D55" s="12">
        <f>'analyse import'!I49</f>
        <v>0</v>
      </c>
      <c r="E55" s="278"/>
      <c r="F55" s="279"/>
      <c r="G55" s="244" t="str">
        <f>IF(C55+D55&gt;0,'analyse import'!L49,"")</f>
        <v/>
      </c>
      <c r="M55" s="56" t="str">
        <f t="shared" si="21"/>
        <v/>
      </c>
      <c r="N55" s="56"/>
      <c r="R55" s="56" t="str">
        <f t="shared" si="19"/>
        <v/>
      </c>
      <c r="T55" s="34" t="str">
        <f t="shared" si="22"/>
        <v/>
      </c>
      <c r="Z55" s="76">
        <f t="shared" si="20"/>
        <v>9.2999999999999999E-2</v>
      </c>
      <c r="AA55" s="76"/>
      <c r="AE55" s="76">
        <v>9.2999999999999999E-2</v>
      </c>
      <c r="AF55" s="12"/>
      <c r="AI55" s="99">
        <f>'analyse import'!J48/1</f>
        <v>0</v>
      </c>
      <c r="AK55" s="12"/>
    </row>
    <row r="56" spans="1:37">
      <c r="B56" s="11" t="s">
        <v>20</v>
      </c>
      <c r="C56" s="12">
        <f>'analyse import'!H50</f>
        <v>0</v>
      </c>
      <c r="D56" s="12">
        <f>'analyse import'!I50</f>
        <v>0</v>
      </c>
      <c r="E56" s="278"/>
      <c r="F56" s="279"/>
      <c r="G56" s="244" t="str">
        <f>IF(C56+D56&gt;0,'analyse import'!L50,"")</f>
        <v/>
      </c>
      <c r="M56" s="56" t="str">
        <f t="shared" si="21"/>
        <v/>
      </c>
      <c r="N56" s="56"/>
      <c r="R56" s="56" t="str">
        <f t="shared" si="19"/>
        <v/>
      </c>
      <c r="T56" s="34" t="str">
        <f t="shared" si="22"/>
        <v/>
      </c>
      <c r="Z56" s="76">
        <f t="shared" si="20"/>
        <v>1.9</v>
      </c>
      <c r="AA56" s="76"/>
      <c r="AE56" s="76">
        <v>1.9</v>
      </c>
      <c r="AF56" s="12"/>
      <c r="AI56" s="99">
        <f>'analyse import'!J49/1</f>
        <v>0</v>
      </c>
      <c r="AK56" s="12"/>
    </row>
    <row r="57" spans="1:37">
      <c r="B57" s="11" t="s">
        <v>21</v>
      </c>
      <c r="C57" s="12">
        <f>'analyse import'!H51</f>
        <v>0</v>
      </c>
      <c r="D57" s="12">
        <f>'analyse import'!I51</f>
        <v>0</v>
      </c>
      <c r="E57" s="278"/>
      <c r="F57" s="279"/>
      <c r="G57" s="244" t="str">
        <f>IF(C57+D57&gt;0,'analyse import'!L51,"")</f>
        <v/>
      </c>
      <c r="M57" s="56" t="str">
        <f t="shared" si="21"/>
        <v/>
      </c>
      <c r="N57" s="56"/>
      <c r="R57" s="56" t="str">
        <f t="shared" si="19"/>
        <v/>
      </c>
      <c r="T57" s="34" t="str">
        <f t="shared" si="22"/>
        <v/>
      </c>
      <c r="Z57" s="76">
        <f t="shared" si="20"/>
        <v>2.1</v>
      </c>
      <c r="AA57" s="76"/>
      <c r="AE57" s="76">
        <v>2.1</v>
      </c>
      <c r="AF57" s="12"/>
      <c r="AI57" s="99">
        <f>'analyse import'!J50/1</f>
        <v>0</v>
      </c>
      <c r="AK57" s="12"/>
    </row>
    <row r="58" spans="1:37">
      <c r="C58" s="12"/>
      <c r="D58" s="12"/>
      <c r="E58" s="276"/>
      <c r="F58" s="277"/>
      <c r="G58" s="71"/>
      <c r="AF58" s="12"/>
      <c r="AI58" s="99">
        <f>AI43</f>
        <v>0</v>
      </c>
      <c r="AK58" s="12"/>
    </row>
    <row r="59" spans="1:37">
      <c r="A59" s="32">
        <v>2</v>
      </c>
      <c r="B59" s="32" t="s">
        <v>22</v>
      </c>
      <c r="C59" s="33" t="s">
        <v>5</v>
      </c>
      <c r="D59" s="33" t="s">
        <v>5</v>
      </c>
      <c r="E59" s="273" t="s">
        <v>5</v>
      </c>
      <c r="F59" s="274" t="s">
        <v>5</v>
      </c>
      <c r="G59" s="72" t="s">
        <v>5</v>
      </c>
      <c r="H59" s="33" t="s">
        <v>229</v>
      </c>
      <c r="I59" s="33" t="s">
        <v>228</v>
      </c>
      <c r="J59" s="33" t="s">
        <v>227</v>
      </c>
      <c r="K59" s="33" t="s">
        <v>232</v>
      </c>
      <c r="L59" s="33" t="s">
        <v>267</v>
      </c>
      <c r="M59" s="33" t="s">
        <v>234</v>
      </c>
      <c r="N59" s="33" t="s">
        <v>230</v>
      </c>
      <c r="O59" s="33" t="s">
        <v>170</v>
      </c>
      <c r="P59" s="33" t="s">
        <v>171</v>
      </c>
      <c r="Q59" s="33" t="s">
        <v>231</v>
      </c>
      <c r="R59" s="33" t="s">
        <v>233</v>
      </c>
      <c r="S59" s="33" t="s">
        <v>185</v>
      </c>
      <c r="T59" s="116" t="s">
        <v>272</v>
      </c>
      <c r="V59" s="283" t="s">
        <v>198</v>
      </c>
      <c r="W59" s="283" t="s">
        <v>169</v>
      </c>
      <c r="X59" s="283" t="s">
        <v>150</v>
      </c>
      <c r="Y59" s="283" t="s">
        <v>173</v>
      </c>
      <c r="Z59" s="283" t="s">
        <v>174</v>
      </c>
      <c r="AA59" s="283" t="s">
        <v>198</v>
      </c>
      <c r="AB59" s="283" t="s">
        <v>170</v>
      </c>
      <c r="AC59" s="283" t="s">
        <v>171</v>
      </c>
      <c r="AD59" s="283" t="s">
        <v>172</v>
      </c>
      <c r="AE59" s="283" t="s">
        <v>175</v>
      </c>
      <c r="AF59" s="283" t="s">
        <v>185</v>
      </c>
      <c r="AG59" s="283" t="s">
        <v>266</v>
      </c>
      <c r="AH59" s="283" t="s">
        <v>265</v>
      </c>
      <c r="AI59" s="45">
        <f>IF(SUM(AI60:AI65)&gt;0,1,0)</f>
        <v>0</v>
      </c>
      <c r="AK59" s="12"/>
    </row>
    <row r="60" spans="1:37">
      <c r="B60" s="11" t="s">
        <v>23</v>
      </c>
      <c r="C60" s="77">
        <f>'analyse import'!H61</f>
        <v>0</v>
      </c>
      <c r="D60" s="77">
        <f>'analyse import'!I61</f>
        <v>0</v>
      </c>
      <c r="E60" s="278"/>
      <c r="F60" s="279"/>
      <c r="G60" s="245" t="str">
        <f>IF(C60+D60&gt;0,'analyse import'!L61,"")</f>
        <v/>
      </c>
      <c r="H60" s="56" t="s">
        <v>220</v>
      </c>
      <c r="I60" s="56" t="s">
        <v>220</v>
      </c>
      <c r="J60" s="56" t="s">
        <v>220</v>
      </c>
      <c r="K60" s="56" t="s">
        <v>220</v>
      </c>
      <c r="L60" s="56" t="s">
        <v>220</v>
      </c>
      <c r="M60" s="56" t="s">
        <v>220</v>
      </c>
      <c r="N60" s="56" t="s">
        <v>220</v>
      </c>
      <c r="O60" s="56" t="s">
        <v>220</v>
      </c>
      <c r="P60" s="56" t="s">
        <v>220</v>
      </c>
      <c r="Q60" s="56" t="s">
        <v>220</v>
      </c>
      <c r="R60" s="56" t="s">
        <v>220</v>
      </c>
      <c r="S60" s="56" t="s">
        <v>220</v>
      </c>
      <c r="T60" s="34" t="str">
        <f t="shared" ref="T60:T65" si="23">IF(C60*D60&gt;0,MAX(C60:D60)/MIN(C60:D60),"")</f>
        <v/>
      </c>
      <c r="AF60" s="12"/>
      <c r="AG60" s="12">
        <f t="shared" ref="AG60:AG65" si="24">IF(V60+W60&gt;X60,X60,V60+W60)</f>
        <v>0</v>
      </c>
      <c r="AI60" s="45">
        <f>'analyse import'!J61</f>
        <v>0</v>
      </c>
      <c r="AK60" s="12">
        <f t="shared" si="1"/>
        <v>0</v>
      </c>
    </row>
    <row r="61" spans="1:37">
      <c r="B61" s="11" t="s">
        <v>24</v>
      </c>
      <c r="C61" s="77">
        <f>'analyse import'!H62</f>
        <v>0</v>
      </c>
      <c r="D61" s="77">
        <f>'analyse import'!I62</f>
        <v>0</v>
      </c>
      <c r="E61" s="278"/>
      <c r="F61" s="279"/>
      <c r="G61" s="245" t="str">
        <f>IF(C61+D61&gt;0,'analyse import'!L62,"")</f>
        <v/>
      </c>
      <c r="H61" s="56" t="str">
        <f t="shared" ref="H61:H62" si="25">IF($C61+$D61&gt;0,IF($G61&gt;2*V61,"2x",IF($G61&gt;V61,"X","-")),"")</f>
        <v/>
      </c>
      <c r="I61" s="56" t="str">
        <f t="shared" ref="I61:I62" si="26">IF($C61+D61&gt;0,IF($G61&gt;AG61,"@",IF(G61&gt;W61,"X","-")),"")</f>
        <v/>
      </c>
      <c r="J61" s="56" t="str">
        <f t="shared" ref="J61:J62" si="27">IF($C61+D61&gt;0,IF($G61&gt;X61,"X","-"),"")</f>
        <v/>
      </c>
      <c r="K61" s="56" t="str">
        <f t="shared" ref="K61:K62" si="28">IF($C61+D61&gt;0,IF($G61&gt;Y61,"X","-"),"")</f>
        <v/>
      </c>
      <c r="L61" s="56" t="str">
        <f t="shared" ref="L61:L62" si="29">IF($C61+D61&gt;0,IF($G61&gt;AH61,"X","-"),"")</f>
        <v/>
      </c>
      <c r="M61" s="56" t="s">
        <v>220</v>
      </c>
      <c r="N61" s="56" t="str">
        <f t="shared" ref="N61:N62" si="30">IF($C61+D61&gt;0,IF($G61&gt;AA61,"X","-"),"")</f>
        <v/>
      </c>
      <c r="O61" s="56" t="s">
        <v>220</v>
      </c>
      <c r="P61" s="56" t="str">
        <f t="shared" ref="P61:P62" si="31">IF($C61+D61&gt;0,IF($G61&gt;AC61,"X","-"),"")</f>
        <v/>
      </c>
      <c r="Q61" s="56" t="str">
        <f t="shared" ref="Q61:Q62" si="32">IF($C61+D61&gt;0,IF($G61&gt;AD61,"X","-"),"")</f>
        <v/>
      </c>
      <c r="R61" s="56" t="s">
        <v>220</v>
      </c>
      <c r="S61" s="56" t="s">
        <v>220</v>
      </c>
      <c r="T61" s="34" t="str">
        <f t="shared" si="23"/>
        <v/>
      </c>
      <c r="V61" s="12">
        <v>3</v>
      </c>
      <c r="W61" s="12">
        <v>3</v>
      </c>
      <c r="X61" s="12">
        <v>20</v>
      </c>
      <c r="Y61" s="12">
        <v>20</v>
      </c>
      <c r="AA61" s="12">
        <f>V61</f>
        <v>3</v>
      </c>
      <c r="AC61" s="12">
        <v>20</v>
      </c>
      <c r="AD61" s="12">
        <f>AC61</f>
        <v>20</v>
      </c>
      <c r="AF61" s="12"/>
      <c r="AG61" s="12">
        <f t="shared" si="24"/>
        <v>6</v>
      </c>
      <c r="AH61" s="90">
        <f>(V61+Y61)/2</f>
        <v>11.5</v>
      </c>
      <c r="AI61" s="99">
        <f>'analyse import'!J62</f>
        <v>0</v>
      </c>
      <c r="AK61" s="12">
        <f t="shared" si="1"/>
        <v>0</v>
      </c>
    </row>
    <row r="62" spans="1:37">
      <c r="B62" s="11" t="s">
        <v>25</v>
      </c>
      <c r="C62" s="77">
        <f>'analyse import'!H63</f>
        <v>0</v>
      </c>
      <c r="D62" s="77">
        <f>'analyse import'!I63</f>
        <v>0</v>
      </c>
      <c r="E62" s="278"/>
      <c r="F62" s="279"/>
      <c r="G62" s="245" t="str">
        <f>IF(C62+D62&gt;0,'analyse import'!L63,"")</f>
        <v/>
      </c>
      <c r="H62" s="56" t="str">
        <f t="shared" si="25"/>
        <v/>
      </c>
      <c r="I62" s="56" t="str">
        <f t="shared" si="26"/>
        <v/>
      </c>
      <c r="J62" s="56" t="str">
        <f t="shared" si="27"/>
        <v/>
      </c>
      <c r="K62" s="56" t="str">
        <f t="shared" si="28"/>
        <v/>
      </c>
      <c r="L62" s="56" t="str">
        <f t="shared" si="29"/>
        <v/>
      </c>
      <c r="M62" s="56" t="s">
        <v>220</v>
      </c>
      <c r="N62" s="56" t="str">
        <f t="shared" si="30"/>
        <v/>
      </c>
      <c r="O62" s="56" t="s">
        <v>220</v>
      </c>
      <c r="P62" s="56" t="str">
        <f t="shared" si="31"/>
        <v/>
      </c>
      <c r="Q62" s="56" t="str">
        <f t="shared" si="32"/>
        <v/>
      </c>
      <c r="R62" s="56" t="s">
        <v>220</v>
      </c>
      <c r="S62" s="56" t="s">
        <v>220</v>
      </c>
      <c r="T62" s="34" t="str">
        <f t="shared" si="23"/>
        <v/>
      </c>
      <c r="V62" s="12">
        <v>5.5</v>
      </c>
      <c r="W62" s="12">
        <v>5.5</v>
      </c>
      <c r="X62" s="12">
        <v>50</v>
      </c>
      <c r="Y62" s="12">
        <v>50</v>
      </c>
      <c r="AA62" s="12">
        <f>V62</f>
        <v>5.5</v>
      </c>
      <c r="AC62" s="12">
        <v>50</v>
      </c>
      <c r="AD62" s="12">
        <f t="shared" ref="AD62:AD74" si="33">AC62</f>
        <v>50</v>
      </c>
      <c r="AF62" s="12"/>
      <c r="AG62" s="12">
        <f t="shared" si="24"/>
        <v>11</v>
      </c>
      <c r="AH62" s="90">
        <f>(V62+Y62)/2</f>
        <v>27.75</v>
      </c>
      <c r="AI62" s="99">
        <f>'analyse import'!J63</f>
        <v>0</v>
      </c>
      <c r="AK62" s="12">
        <f t="shared" si="1"/>
        <v>0</v>
      </c>
    </row>
    <row r="63" spans="1:37">
      <c r="B63" s="11" t="s">
        <v>26</v>
      </c>
      <c r="C63" s="77">
        <f>'analyse import'!H64</f>
        <v>0</v>
      </c>
      <c r="D63" s="77">
        <f>'analyse import'!I64</f>
        <v>0</v>
      </c>
      <c r="E63" s="278"/>
      <c r="F63" s="279"/>
      <c r="G63" s="245" t="str">
        <f>IF(C63+D63&gt;0,'analyse import'!L64,"")</f>
        <v/>
      </c>
      <c r="H63" s="56" t="s">
        <v>220</v>
      </c>
      <c r="I63" s="56" t="s">
        <v>220</v>
      </c>
      <c r="J63" s="56" t="s">
        <v>220</v>
      </c>
      <c r="K63" s="56" t="s">
        <v>220</v>
      </c>
      <c r="L63" s="56" t="s">
        <v>220</v>
      </c>
      <c r="M63" s="56" t="s">
        <v>220</v>
      </c>
      <c r="N63" s="56" t="s">
        <v>220</v>
      </c>
      <c r="O63" s="56" t="s">
        <v>220</v>
      </c>
      <c r="P63" s="56" t="s">
        <v>220</v>
      </c>
      <c r="Q63" s="56" t="s">
        <v>220</v>
      </c>
      <c r="R63" s="56" t="s">
        <v>220</v>
      </c>
      <c r="S63" s="56" t="s">
        <v>220</v>
      </c>
      <c r="T63" s="34" t="str">
        <f t="shared" si="23"/>
        <v/>
      </c>
      <c r="AF63" s="12"/>
      <c r="AG63" s="12">
        <f t="shared" si="24"/>
        <v>0</v>
      </c>
      <c r="AH63" s="90"/>
      <c r="AI63" s="99">
        <f>'analyse import'!J64</f>
        <v>0</v>
      </c>
      <c r="AK63" s="12">
        <f t="shared" si="1"/>
        <v>0</v>
      </c>
    </row>
    <row r="64" spans="1:37">
      <c r="B64" s="11" t="s">
        <v>263</v>
      </c>
      <c r="C64" s="77">
        <f>'analyse import'!H65</f>
        <v>0</v>
      </c>
      <c r="D64" s="77">
        <f>'analyse import'!I65</f>
        <v>0</v>
      </c>
      <c r="E64" s="278"/>
      <c r="F64" s="279"/>
      <c r="G64" s="245" t="str">
        <f>IF(C64+D64&gt;0,'analyse import'!L65,"")</f>
        <v/>
      </c>
      <c r="H64" s="56" t="str">
        <f>IF($C64+$D64&gt;0,IF($G64&gt;2*V64,"2x",IF($G64&gt;V64,"X","-")),"")</f>
        <v/>
      </c>
      <c r="I64" s="56" t="str">
        <f>IF($C64+D64&gt;0,IF($G64&gt;AG64,"@",IF(G64&gt;W64,"X","-")),"")</f>
        <v/>
      </c>
      <c r="J64" s="56" t="str">
        <f>IF($C64+D64&gt;0,IF($G64&gt;X64,"X","-"),"")</f>
        <v/>
      </c>
      <c r="K64" s="56" t="str">
        <f>IF($C64+D64&gt;0,IF($G64&gt;Y64,"X","-"),"")</f>
        <v/>
      </c>
      <c r="L64" s="56" t="str">
        <f>IF($C64+D64&gt;0,IF($G64&gt;AH64,"X","-"),"")</f>
        <v/>
      </c>
      <c r="M64" s="56" t="s">
        <v>220</v>
      </c>
      <c r="N64" s="56" t="str">
        <f>IF($C64+D64&gt;0,IF($G64&gt;AA64,"X","-"),"")</f>
        <v/>
      </c>
      <c r="O64" s="56" t="s">
        <v>220</v>
      </c>
      <c r="P64" s="56" t="str">
        <f>IF($C64+D64&gt;0,IF($G64&gt;AC64,"X","-"),"")</f>
        <v/>
      </c>
      <c r="Q64" s="56" t="str">
        <f>IF($C64+D64&gt;0,IF($G64&gt;AD64,"X","-"),"")</f>
        <v/>
      </c>
      <c r="R64" s="56" t="s">
        <v>220</v>
      </c>
      <c r="S64" s="56" t="s">
        <v>220</v>
      </c>
      <c r="T64" s="34" t="str">
        <f t="shared" si="23"/>
        <v/>
      </c>
      <c r="V64" s="12">
        <v>6</v>
      </c>
      <c r="W64" s="12">
        <v>6</v>
      </c>
      <c r="X64" s="12">
        <v>20</v>
      </c>
      <c r="Y64" s="12">
        <v>20</v>
      </c>
      <c r="AA64" s="12">
        <f>V64</f>
        <v>6</v>
      </c>
      <c r="AC64" s="12">
        <v>20</v>
      </c>
      <c r="AD64" s="12">
        <f t="shared" si="33"/>
        <v>20</v>
      </c>
      <c r="AF64" s="12"/>
      <c r="AG64" s="12">
        <f t="shared" si="24"/>
        <v>12</v>
      </c>
      <c r="AH64" s="90">
        <f>(V64+Y64)/2</f>
        <v>13</v>
      </c>
      <c r="AI64" s="99">
        <f>'analyse import'!J65</f>
        <v>0</v>
      </c>
      <c r="AK64" s="12">
        <f t="shared" si="1"/>
        <v>0</v>
      </c>
    </row>
    <row r="65" spans="1:37">
      <c r="B65" s="11" t="s">
        <v>28</v>
      </c>
      <c r="C65" s="77">
        <f>'analyse import'!H66</f>
        <v>0</v>
      </c>
      <c r="D65" s="77">
        <f>'analyse import'!I66</f>
        <v>0</v>
      </c>
      <c r="E65" s="278"/>
      <c r="F65" s="279"/>
      <c r="G65" s="245" t="str">
        <f>IF(C65+D65&gt;0,'analyse import'!L66,"")</f>
        <v/>
      </c>
      <c r="H65" s="56" t="s">
        <v>220</v>
      </c>
      <c r="I65" s="56" t="s">
        <v>220</v>
      </c>
      <c r="J65" s="56" t="s">
        <v>220</v>
      </c>
      <c r="K65" s="56" t="s">
        <v>220</v>
      </c>
      <c r="L65" s="56" t="s">
        <v>220</v>
      </c>
      <c r="M65" s="56" t="s">
        <v>220</v>
      </c>
      <c r="N65" s="56" t="s">
        <v>220</v>
      </c>
      <c r="O65" s="56" t="s">
        <v>220</v>
      </c>
      <c r="P65" s="56" t="s">
        <v>220</v>
      </c>
      <c r="Q65" s="56" t="s">
        <v>220</v>
      </c>
      <c r="R65" s="56" t="s">
        <v>220</v>
      </c>
      <c r="S65" s="56" t="s">
        <v>220</v>
      </c>
      <c r="T65" s="34" t="str">
        <f t="shared" si="23"/>
        <v/>
      </c>
      <c r="AF65" s="12"/>
      <c r="AG65" s="12">
        <f t="shared" si="24"/>
        <v>0</v>
      </c>
      <c r="AH65" s="90"/>
      <c r="AI65" s="99">
        <f>'analyse import'!J66</f>
        <v>0</v>
      </c>
      <c r="AK65" s="12">
        <f t="shared" si="1"/>
        <v>0</v>
      </c>
    </row>
    <row r="66" spans="1:37">
      <c r="C66" s="12"/>
      <c r="D66" s="12"/>
      <c r="E66" s="276"/>
      <c r="F66" s="277"/>
      <c r="G66" s="71"/>
      <c r="AF66" s="12"/>
      <c r="AH66" s="90"/>
      <c r="AI66" s="45">
        <f>AI59</f>
        <v>0</v>
      </c>
      <c r="AK66" s="12"/>
    </row>
    <row r="67" spans="1:37">
      <c r="A67" s="32">
        <v>3</v>
      </c>
      <c r="B67" s="32" t="s">
        <v>29</v>
      </c>
      <c r="C67" s="33" t="s">
        <v>5</v>
      </c>
      <c r="D67" s="33" t="s">
        <v>5</v>
      </c>
      <c r="E67" s="273" t="s">
        <v>5</v>
      </c>
      <c r="F67" s="274" t="s">
        <v>5</v>
      </c>
      <c r="G67" s="72" t="s">
        <v>5</v>
      </c>
      <c r="H67" s="33" t="s">
        <v>229</v>
      </c>
      <c r="I67" s="33" t="s">
        <v>228</v>
      </c>
      <c r="J67" s="33" t="s">
        <v>227</v>
      </c>
      <c r="K67" s="33" t="s">
        <v>232</v>
      </c>
      <c r="L67" s="33" t="s">
        <v>267</v>
      </c>
      <c r="M67" s="33" t="s">
        <v>234</v>
      </c>
      <c r="N67" s="33" t="s">
        <v>230</v>
      </c>
      <c r="O67" s="33" t="s">
        <v>170</v>
      </c>
      <c r="P67" s="33" t="s">
        <v>171</v>
      </c>
      <c r="Q67" s="33" t="s">
        <v>231</v>
      </c>
      <c r="R67" s="33" t="s">
        <v>233</v>
      </c>
      <c r="S67" s="33" t="s">
        <v>185</v>
      </c>
      <c r="T67" s="116" t="s">
        <v>272</v>
      </c>
      <c r="AF67" s="12"/>
      <c r="AH67" s="90"/>
      <c r="AI67" s="45">
        <f>IF(SUM(AI68:AI76)&gt;0,1,0)</f>
        <v>0</v>
      </c>
      <c r="AK67" s="12"/>
    </row>
    <row r="68" spans="1:37">
      <c r="B68" s="11" t="s">
        <v>30</v>
      </c>
      <c r="C68" s="12">
        <f>'analyse import'!H69</f>
        <v>0</v>
      </c>
      <c r="D68" s="12">
        <f>'analyse import'!I69</f>
        <v>0</v>
      </c>
      <c r="E68" s="263" t="str">
        <f>IF(C68+D68&gt;0,'analyse import'!H69*10/omrekenen!J$3,"")</f>
        <v/>
      </c>
      <c r="F68" s="264" t="str">
        <f>IF(D68+C68&gt;0,'analyse import'!I69*10/omrekenen!K$3,"")</f>
        <v/>
      </c>
      <c r="G68" s="73" t="str">
        <f>IF(C68+D68&gt;0,(E68+F68)/'analyse import'!K69,"")</f>
        <v/>
      </c>
      <c r="H68" s="56" t="str">
        <f t="shared" ref="H68:H76" si="34">IF($C68+$D68&gt;0,IF($G68&gt;2*V68,"2x",IF($G68&gt;V68,"X","-")),"")</f>
        <v/>
      </c>
      <c r="I68" s="56" t="str">
        <f t="shared" ref="I68:I76" si="35">IF($C68+D68&gt;0,IF($G68&gt;AG68,"@",IF(G68&gt;W68,"X","-")),"")</f>
        <v/>
      </c>
      <c r="J68" s="56" t="str">
        <f t="shared" ref="J68:J76" si="36">IF($C68+D68&gt;0,IF($G68&gt;X68,"X","-"),"")</f>
        <v/>
      </c>
      <c r="K68" s="56" t="str">
        <f t="shared" ref="K68:K76" si="37">IF($C68+D68&gt;0,IF($G68&gt;Y68,"X","-"),"")</f>
        <v/>
      </c>
      <c r="L68" s="56" t="str">
        <f t="shared" ref="L68:L76" si="38">IF($C68+D68&gt;0,IF($G68&gt;AH68,"X","-"),"")</f>
        <v/>
      </c>
      <c r="M68" s="56" t="s">
        <v>220</v>
      </c>
      <c r="N68" s="56" t="str">
        <f t="shared" ref="N68:N76" si="39">IF($C68+D68&gt;0,IF($G68&gt;AA68,"X","-"),"")</f>
        <v/>
      </c>
      <c r="O68" s="56" t="s">
        <v>220</v>
      </c>
      <c r="P68" s="56" t="str">
        <f t="shared" ref="P68:P74" si="40">IF($C68+D68&gt;0,IF($G68&gt;AC68,"X","-"),"")</f>
        <v/>
      </c>
      <c r="Q68" s="56" t="str">
        <f t="shared" ref="Q68:Q74" si="41">IF($C68+D68&gt;0,IF($G68&gt;AD68,"X","-"),"")</f>
        <v/>
      </c>
      <c r="R68" s="56" t="s">
        <v>220</v>
      </c>
      <c r="S68" s="56" t="s">
        <v>220</v>
      </c>
      <c r="T68" s="34" t="str">
        <f t="shared" ref="T68:T76" si="42">IF(C68*D68&gt;0,MAX(C68:D68)/MIN(C68:D68),"")</f>
        <v/>
      </c>
      <c r="V68" s="12">
        <v>0.2</v>
      </c>
      <c r="W68" s="12">
        <f>V68</f>
        <v>0.2</v>
      </c>
      <c r="X68" s="12">
        <v>1</v>
      </c>
      <c r="Y68" s="12">
        <v>1.1000000000000001</v>
      </c>
      <c r="AA68" s="12">
        <f t="shared" ref="AA68:AA76" si="43">V68</f>
        <v>0.2</v>
      </c>
      <c r="AC68" s="12">
        <v>1</v>
      </c>
      <c r="AD68" s="12">
        <f t="shared" si="33"/>
        <v>1</v>
      </c>
      <c r="AF68" s="12"/>
      <c r="AG68" s="12">
        <f t="shared" ref="AG68:AG76" si="44">IF(V68+W68&gt;X68,X68,V68+W68)</f>
        <v>0.4</v>
      </c>
      <c r="AH68" s="90">
        <f t="shared" ref="AH68:AH76" si="45">(V68+Y68)/2</f>
        <v>0.65</v>
      </c>
      <c r="AI68" s="99">
        <f>'analyse import'!J69</f>
        <v>0</v>
      </c>
      <c r="AK68" s="12">
        <f t="shared" si="1"/>
        <v>0</v>
      </c>
    </row>
    <row r="69" spans="1:37">
      <c r="B69" s="11" t="s">
        <v>31</v>
      </c>
      <c r="C69" s="12">
        <f>'analyse import'!H70</f>
        <v>0</v>
      </c>
      <c r="D69" s="12">
        <f>'analyse import'!I70</f>
        <v>0</v>
      </c>
      <c r="E69" s="263" t="str">
        <f>IF(C69+D69&gt;0,'analyse import'!H70*10/omrekenen!J$3,"")</f>
        <v/>
      </c>
      <c r="F69" s="264" t="str">
        <f>IF(D69+C69&gt;0,'analyse import'!I70*10/omrekenen!K$3,"")</f>
        <v/>
      </c>
      <c r="G69" s="73" t="str">
        <f>IF(C69+D69&gt;0,(E69+F69)/'analyse import'!K70,"")</f>
        <v/>
      </c>
      <c r="H69" s="56" t="str">
        <f t="shared" si="34"/>
        <v/>
      </c>
      <c r="I69" s="56" t="str">
        <f t="shared" si="35"/>
        <v/>
      </c>
      <c r="J69" s="56" t="str">
        <f t="shared" si="36"/>
        <v/>
      </c>
      <c r="K69" s="56" t="str">
        <f t="shared" si="37"/>
        <v/>
      </c>
      <c r="L69" s="56" t="str">
        <f t="shared" si="38"/>
        <v/>
      </c>
      <c r="M69" s="56" t="s">
        <v>220</v>
      </c>
      <c r="N69" s="56" t="str">
        <f t="shared" si="39"/>
        <v/>
      </c>
      <c r="O69" s="56" t="s">
        <v>220</v>
      </c>
      <c r="P69" s="56" t="str">
        <f t="shared" si="40"/>
        <v/>
      </c>
      <c r="Q69" s="56" t="str">
        <f t="shared" si="41"/>
        <v/>
      </c>
      <c r="R69" s="56" t="s">
        <v>220</v>
      </c>
      <c r="S69" s="56" t="s">
        <v>220</v>
      </c>
      <c r="T69" s="34" t="str">
        <f t="shared" si="42"/>
        <v/>
      </c>
      <c r="V69" s="12">
        <v>0.2</v>
      </c>
      <c r="W69" s="12">
        <f t="shared" ref="W69:W76" si="46">V69</f>
        <v>0.2</v>
      </c>
      <c r="X69" s="12">
        <v>1.25</v>
      </c>
      <c r="Y69" s="12">
        <v>110</v>
      </c>
      <c r="AA69" s="12">
        <f t="shared" si="43"/>
        <v>0.2</v>
      </c>
      <c r="AC69" s="12">
        <v>50</v>
      </c>
      <c r="AD69" s="12">
        <f t="shared" si="33"/>
        <v>50</v>
      </c>
      <c r="AF69" s="12"/>
      <c r="AG69" s="12">
        <f t="shared" si="44"/>
        <v>0.4</v>
      </c>
      <c r="AH69" s="90">
        <f t="shared" si="45"/>
        <v>55.1</v>
      </c>
      <c r="AI69" s="99">
        <f>'analyse import'!J70</f>
        <v>0</v>
      </c>
      <c r="AK69" s="12">
        <f t="shared" si="1"/>
        <v>0</v>
      </c>
    </row>
    <row r="70" spans="1:37">
      <c r="B70" s="11" t="s">
        <v>32</v>
      </c>
      <c r="C70" s="12">
        <f>'analyse import'!H71</f>
        <v>0</v>
      </c>
      <c r="D70" s="12">
        <f>'analyse import'!I71</f>
        <v>0</v>
      </c>
      <c r="E70" s="263" t="str">
        <f>IF(C70+D70&gt;0,'analyse import'!H71*10/omrekenen!J$3,"")</f>
        <v/>
      </c>
      <c r="F70" s="264" t="str">
        <f>IF(D70+C70&gt;0,'analyse import'!I71*10/omrekenen!K$3,"")</f>
        <v/>
      </c>
      <c r="G70" s="73" t="str">
        <f>IF(C70+D70&gt;0,(E70+F70)/'analyse import'!K71,"")</f>
        <v/>
      </c>
      <c r="H70" s="56" t="str">
        <f t="shared" si="34"/>
        <v/>
      </c>
      <c r="I70" s="56" t="str">
        <f t="shared" si="35"/>
        <v/>
      </c>
      <c r="J70" s="56" t="str">
        <f t="shared" si="36"/>
        <v/>
      </c>
      <c r="K70" s="56" t="str">
        <f t="shared" si="37"/>
        <v/>
      </c>
      <c r="L70" s="56" t="str">
        <f t="shared" si="38"/>
        <v/>
      </c>
      <c r="M70" s="56" t="s">
        <v>220</v>
      </c>
      <c r="N70" s="56" t="str">
        <f t="shared" si="39"/>
        <v/>
      </c>
      <c r="O70" s="56" t="s">
        <v>220</v>
      </c>
      <c r="P70" s="56" t="str">
        <f t="shared" si="40"/>
        <v/>
      </c>
      <c r="Q70" s="56" t="str">
        <f t="shared" si="41"/>
        <v/>
      </c>
      <c r="R70" s="56" t="s">
        <v>220</v>
      </c>
      <c r="S70" s="56" t="s">
        <v>220</v>
      </c>
      <c r="T70" s="34" t="str">
        <f t="shared" si="42"/>
        <v/>
      </c>
      <c r="V70" s="12">
        <v>0.2</v>
      </c>
      <c r="W70" s="12">
        <f t="shared" si="46"/>
        <v>0.2</v>
      </c>
      <c r="X70" s="12">
        <v>1.25</v>
      </c>
      <c r="Y70" s="12">
        <v>32</v>
      </c>
      <c r="AA70" s="12">
        <f t="shared" si="43"/>
        <v>0.2</v>
      </c>
      <c r="AC70" s="12">
        <v>130</v>
      </c>
      <c r="AD70" s="12">
        <f t="shared" si="33"/>
        <v>130</v>
      </c>
      <c r="AF70" s="12"/>
      <c r="AG70" s="12">
        <f t="shared" si="44"/>
        <v>0.4</v>
      </c>
      <c r="AH70" s="90">
        <f t="shared" si="45"/>
        <v>16.100000000000001</v>
      </c>
      <c r="AI70" s="99">
        <f>'analyse import'!J71</f>
        <v>0</v>
      </c>
      <c r="AK70" s="12">
        <f t="shared" si="1"/>
        <v>0</v>
      </c>
    </row>
    <row r="71" spans="1:37">
      <c r="B71" s="11" t="s">
        <v>33</v>
      </c>
      <c r="C71" s="12">
        <f>'analyse import'!H72</f>
        <v>0</v>
      </c>
      <c r="D71" s="12">
        <f>'analyse import'!I72</f>
        <v>0</v>
      </c>
      <c r="E71" s="263" t="str">
        <f>IF(C71+D71&gt;0,'analyse import'!H72*10/omrekenen!J$3,"")</f>
        <v/>
      </c>
      <c r="F71" s="264" t="str">
        <f>IF(D71+C71&gt;0,'analyse import'!I72*10/omrekenen!K$3,"")</f>
        <v/>
      </c>
      <c r="G71" s="73" t="str">
        <f>IF(C71+D71&gt;0,(E71+F71)/'analyse import'!K72,"")</f>
        <v/>
      </c>
      <c r="H71" s="56" t="str">
        <f t="shared" si="34"/>
        <v/>
      </c>
      <c r="I71" s="56" t="str">
        <f t="shared" si="35"/>
        <v/>
      </c>
      <c r="J71" s="56" t="str">
        <f t="shared" si="36"/>
        <v/>
      </c>
      <c r="K71" s="56" t="str">
        <f t="shared" si="37"/>
        <v/>
      </c>
      <c r="L71" s="56" t="str">
        <f t="shared" si="38"/>
        <v/>
      </c>
      <c r="M71" s="56" t="s">
        <v>220</v>
      </c>
      <c r="N71" s="56" t="str">
        <f t="shared" si="39"/>
        <v/>
      </c>
      <c r="O71" s="56" t="s">
        <v>220</v>
      </c>
      <c r="P71" s="56" t="str">
        <f t="shared" si="40"/>
        <v/>
      </c>
      <c r="Q71" s="56" t="str">
        <f t="shared" si="41"/>
        <v/>
      </c>
      <c r="R71" s="56" t="s">
        <v>220</v>
      </c>
      <c r="S71" s="56" t="s">
        <v>220</v>
      </c>
      <c r="T71" s="34" t="str">
        <f t="shared" si="42"/>
        <v/>
      </c>
      <c r="V71" s="12">
        <v>0.45</v>
      </c>
      <c r="W71" s="12">
        <f t="shared" si="46"/>
        <v>0.45</v>
      </c>
      <c r="X71" s="12">
        <v>1.25</v>
      </c>
      <c r="Y71" s="12">
        <v>17</v>
      </c>
      <c r="AA71" s="12">
        <f t="shared" si="43"/>
        <v>0.45</v>
      </c>
      <c r="AC71" s="12">
        <v>25</v>
      </c>
      <c r="AD71" s="12">
        <f t="shared" si="33"/>
        <v>25</v>
      </c>
      <c r="AF71" s="12"/>
      <c r="AG71" s="12">
        <f t="shared" si="44"/>
        <v>0.9</v>
      </c>
      <c r="AH71" s="90">
        <f t="shared" si="45"/>
        <v>8.7249999999999996</v>
      </c>
      <c r="AI71" s="99">
        <f>'analyse import'!J72</f>
        <v>0</v>
      </c>
      <c r="AK71" s="12">
        <f t="shared" si="1"/>
        <v>0</v>
      </c>
    </row>
    <row r="72" spans="1:37">
      <c r="B72" s="11" t="s">
        <v>34</v>
      </c>
      <c r="C72" s="12">
        <f>'analyse import'!H73</f>
        <v>0</v>
      </c>
      <c r="D72" s="12">
        <f>'analyse import'!I73</f>
        <v>0</v>
      </c>
      <c r="E72" s="263" t="str">
        <f>IF(C72+D72&gt;0,'analyse import'!H73*10/omrekenen!J$3,"")</f>
        <v/>
      </c>
      <c r="F72" s="264" t="str">
        <f>IF(D72+C72&gt;0,'analyse import'!I73*10/omrekenen!K$3,"")</f>
        <v/>
      </c>
      <c r="G72" s="73" t="str">
        <f>IF(C72+D72&gt;0,(E72+F72)/'analyse import'!K73,"")</f>
        <v/>
      </c>
      <c r="H72" s="56" t="str">
        <f t="shared" si="34"/>
        <v/>
      </c>
      <c r="I72" s="56" t="str">
        <f t="shared" si="35"/>
        <v/>
      </c>
      <c r="J72" s="56" t="str">
        <f t="shared" si="36"/>
        <v/>
      </c>
      <c r="K72" s="56" t="str">
        <f t="shared" si="37"/>
        <v/>
      </c>
      <c r="L72" s="56" t="str">
        <f t="shared" si="38"/>
        <v/>
      </c>
      <c r="M72" s="56" t="s">
        <v>220</v>
      </c>
      <c r="N72" s="56" t="str">
        <f t="shared" si="39"/>
        <v/>
      </c>
      <c r="O72" s="56" t="s">
        <v>220</v>
      </c>
      <c r="P72" s="56" t="str">
        <f t="shared" si="40"/>
        <v/>
      </c>
      <c r="Q72" s="56" t="str">
        <f t="shared" si="41"/>
        <v/>
      </c>
      <c r="R72" s="56" t="s">
        <v>220</v>
      </c>
      <c r="S72" s="56" t="s">
        <v>220</v>
      </c>
      <c r="T72" s="34" t="str">
        <f t="shared" si="42"/>
        <v/>
      </c>
      <c r="V72" s="12">
        <v>0.25</v>
      </c>
      <c r="W72" s="12">
        <f t="shared" si="46"/>
        <v>0.25</v>
      </c>
      <c r="X72" s="12">
        <v>2.5</v>
      </c>
      <c r="Y72" s="12">
        <v>86</v>
      </c>
      <c r="AA72" s="12">
        <f t="shared" si="43"/>
        <v>0.25</v>
      </c>
      <c r="AC72" s="12">
        <v>100</v>
      </c>
      <c r="AD72" s="12">
        <f t="shared" si="33"/>
        <v>100</v>
      </c>
      <c r="AF72" s="12"/>
      <c r="AG72" s="12">
        <f t="shared" si="44"/>
        <v>0.5</v>
      </c>
      <c r="AH72" s="90">
        <f t="shared" si="45"/>
        <v>43.125</v>
      </c>
      <c r="AI72" s="99">
        <f>'analyse import'!J73</f>
        <v>0</v>
      </c>
      <c r="AK72" s="12">
        <f t="shared" si="1"/>
        <v>0</v>
      </c>
    </row>
    <row r="73" spans="1:37">
      <c r="B73" s="11" t="s">
        <v>35</v>
      </c>
      <c r="C73" s="12">
        <f>'analyse import'!H74</f>
        <v>0</v>
      </c>
      <c r="D73" s="12">
        <f>'analyse import'!I74</f>
        <v>0</v>
      </c>
      <c r="E73" s="263" t="str">
        <f>IF(C73+D73&gt;0,'analyse import'!H74*10/omrekenen!J$3,"")</f>
        <v/>
      </c>
      <c r="F73" s="264" t="str">
        <f>IF(D73+C73&gt;0,'analyse import'!I74*10/omrekenen!K$3,"")</f>
        <v/>
      </c>
      <c r="G73" s="73" t="str">
        <f>IF(C73+D73&gt;0,(E73+F73)/'analyse import'!K74,"")</f>
        <v/>
      </c>
      <c r="H73" s="56" t="str">
        <f t="shared" si="34"/>
        <v/>
      </c>
      <c r="I73" s="56" t="str">
        <f t="shared" si="35"/>
        <v/>
      </c>
      <c r="J73" s="56" t="str">
        <f t="shared" si="36"/>
        <v/>
      </c>
      <c r="K73" s="56" t="str">
        <f t="shared" si="37"/>
        <v/>
      </c>
      <c r="L73" s="56" t="str">
        <f t="shared" si="38"/>
        <v/>
      </c>
      <c r="M73" s="56" t="s">
        <v>220</v>
      </c>
      <c r="N73" s="56" t="str">
        <f t="shared" si="39"/>
        <v/>
      </c>
      <c r="O73" s="56" t="s">
        <v>220</v>
      </c>
      <c r="P73" s="56" t="str">
        <f t="shared" si="40"/>
        <v/>
      </c>
      <c r="Q73" s="56" t="str">
        <f t="shared" si="41"/>
        <v/>
      </c>
      <c r="R73" s="56" t="s">
        <v>220</v>
      </c>
      <c r="S73" s="56" t="s">
        <v>220</v>
      </c>
      <c r="T73" s="34" t="str">
        <f t="shared" si="42"/>
        <v/>
      </c>
      <c r="V73" s="12">
        <v>0.25</v>
      </c>
      <c r="W73" s="12">
        <f t="shared" si="46"/>
        <v>0.25</v>
      </c>
      <c r="X73" s="12">
        <v>1.25</v>
      </c>
      <c r="Y73" s="12">
        <v>14</v>
      </c>
      <c r="AA73" s="12">
        <f t="shared" si="43"/>
        <v>0.25</v>
      </c>
      <c r="AC73" s="12">
        <v>40</v>
      </c>
      <c r="AD73" s="12">
        <f t="shared" si="33"/>
        <v>40</v>
      </c>
      <c r="AF73" s="12"/>
      <c r="AG73" s="12">
        <f t="shared" si="44"/>
        <v>0.5</v>
      </c>
      <c r="AH73" s="90">
        <f t="shared" si="45"/>
        <v>7.125</v>
      </c>
      <c r="AI73" s="99">
        <f>'analyse import'!J74</f>
        <v>0</v>
      </c>
      <c r="AK73" s="12">
        <f t="shared" si="1"/>
        <v>0</v>
      </c>
    </row>
    <row r="74" spans="1:37">
      <c r="B74" s="11" t="s">
        <v>36</v>
      </c>
      <c r="C74" s="12">
        <f>'analyse import'!H75</f>
        <v>0</v>
      </c>
      <c r="D74" s="12">
        <f>'analyse import'!I75</f>
        <v>0</v>
      </c>
      <c r="E74" s="263" t="str">
        <f>IF(C74+D74&gt;0,'analyse import'!H75*10/omrekenen!J$3,"")</f>
        <v/>
      </c>
      <c r="F74" s="264" t="str">
        <f>IF(D74+C74&gt;0,'analyse import'!I75*10/omrekenen!K$3,"")</f>
        <v/>
      </c>
      <c r="G74" s="73" t="str">
        <f>IF(C74+D74&gt;0,(E74+F74)/'analyse import'!K75,"")</f>
        <v/>
      </c>
      <c r="H74" s="56" t="str">
        <f t="shared" si="34"/>
        <v/>
      </c>
      <c r="I74" s="56" t="str">
        <f t="shared" si="35"/>
        <v/>
      </c>
      <c r="J74" s="56" t="str">
        <f t="shared" si="36"/>
        <v/>
      </c>
      <c r="K74" s="56" t="str">
        <f t="shared" si="37"/>
        <v/>
      </c>
      <c r="L74" s="56" t="str">
        <f t="shared" si="38"/>
        <v/>
      </c>
      <c r="M74" s="56" t="s">
        <v>220</v>
      </c>
      <c r="N74" s="56" t="str">
        <f t="shared" si="39"/>
        <v/>
      </c>
      <c r="O74" s="56" t="s">
        <v>220</v>
      </c>
      <c r="P74" s="56" t="str">
        <f t="shared" si="40"/>
        <v/>
      </c>
      <c r="Q74" s="56" t="str">
        <f t="shared" si="41"/>
        <v/>
      </c>
      <c r="R74" s="56" t="s">
        <v>220</v>
      </c>
      <c r="S74" s="56" t="s">
        <v>220</v>
      </c>
      <c r="T74" s="34" t="str">
        <f t="shared" si="42"/>
        <v/>
      </c>
      <c r="V74" s="12">
        <v>0.3</v>
      </c>
      <c r="W74" s="12">
        <f t="shared" si="46"/>
        <v>0.3</v>
      </c>
      <c r="X74" s="12">
        <v>5</v>
      </c>
      <c r="Y74" s="12">
        <v>13</v>
      </c>
      <c r="AA74" s="12">
        <f t="shared" si="43"/>
        <v>0.3</v>
      </c>
      <c r="AC74" s="12">
        <v>5</v>
      </c>
      <c r="AD74" s="12">
        <f t="shared" si="33"/>
        <v>5</v>
      </c>
      <c r="AF74" s="12"/>
      <c r="AG74" s="12">
        <f t="shared" si="44"/>
        <v>0.6</v>
      </c>
      <c r="AH74" s="90">
        <f t="shared" si="45"/>
        <v>6.65</v>
      </c>
      <c r="AI74" s="99">
        <f>'analyse import'!J75</f>
        <v>0</v>
      </c>
      <c r="AK74" s="12">
        <f t="shared" si="1"/>
        <v>0</v>
      </c>
    </row>
    <row r="75" spans="1:37">
      <c r="B75" s="11" t="s">
        <v>37</v>
      </c>
      <c r="C75" s="12">
        <f>'analyse import'!H76</f>
        <v>0</v>
      </c>
      <c r="D75" s="12">
        <f>'analyse import'!I76</f>
        <v>0</v>
      </c>
      <c r="E75" s="263" t="str">
        <f>IF(C75+D75&gt;0,'analyse import'!H76*10/omrekenen!J$3,"")</f>
        <v/>
      </c>
      <c r="F75" s="264" t="str">
        <f>IF(D75+C75&gt;0,'analyse import'!I76*10/omrekenen!K$3,"")</f>
        <v/>
      </c>
      <c r="G75" s="73" t="str">
        <f>IF(C75+D75&gt;0,(E75+F75)/'analyse import'!K76,"")</f>
        <v/>
      </c>
      <c r="H75" s="56" t="str">
        <f t="shared" si="34"/>
        <v/>
      </c>
      <c r="I75" s="56" t="str">
        <f t="shared" si="35"/>
        <v/>
      </c>
      <c r="J75" s="56" t="str">
        <f t="shared" si="36"/>
        <v/>
      </c>
      <c r="K75" s="56" t="str">
        <f t="shared" si="37"/>
        <v/>
      </c>
      <c r="L75" s="56" t="str">
        <f t="shared" si="38"/>
        <v/>
      </c>
      <c r="M75" s="56" t="s">
        <v>220</v>
      </c>
      <c r="N75" s="56" t="str">
        <f t="shared" si="39"/>
        <v/>
      </c>
      <c r="O75" s="56" t="s">
        <v>220</v>
      </c>
      <c r="P75" s="56" t="s">
        <v>220</v>
      </c>
      <c r="Q75" s="56" t="s">
        <v>220</v>
      </c>
      <c r="R75" s="56" t="s">
        <v>220</v>
      </c>
      <c r="S75" s="56" t="s">
        <v>220</v>
      </c>
      <c r="T75" s="34" t="str">
        <f t="shared" si="42"/>
        <v/>
      </c>
      <c r="V75" s="12">
        <v>0.35</v>
      </c>
      <c r="W75" s="12">
        <f t="shared" si="46"/>
        <v>0.35</v>
      </c>
      <c r="X75" s="12">
        <v>0.35</v>
      </c>
      <c r="Y75" s="12">
        <v>1000</v>
      </c>
      <c r="AA75" s="12">
        <f t="shared" si="43"/>
        <v>0.35</v>
      </c>
      <c r="AF75" s="12"/>
      <c r="AG75" s="12">
        <f t="shared" si="44"/>
        <v>0.35</v>
      </c>
      <c r="AH75" s="90">
        <f t="shared" si="45"/>
        <v>500.17500000000001</v>
      </c>
      <c r="AI75" s="99">
        <f>'analyse import'!J76</f>
        <v>0</v>
      </c>
      <c r="AK75" s="12">
        <f t="shared" si="1"/>
        <v>0</v>
      </c>
    </row>
    <row r="76" spans="1:37">
      <c r="B76" s="11" t="s">
        <v>38</v>
      </c>
      <c r="C76" s="12">
        <f>'analyse import'!H77</f>
        <v>0</v>
      </c>
      <c r="D76" s="12">
        <f>'analyse import'!I77</f>
        <v>0</v>
      </c>
      <c r="E76" s="263" t="str">
        <f>IF(C76+D76&gt;0,'analyse import'!H77*10/omrekenen!J$3,"")</f>
        <v/>
      </c>
      <c r="F76" s="264" t="str">
        <f>IF(D76+C76&gt;0,'analyse import'!I77*10/omrekenen!K$3,"")</f>
        <v/>
      </c>
      <c r="G76" s="73" t="str">
        <f>IF(C76+D76&gt;0,(E76+F76)/'analyse import'!K77,"")</f>
        <v/>
      </c>
      <c r="H76" s="56" t="str">
        <f t="shared" si="34"/>
        <v/>
      </c>
      <c r="I76" s="56" t="str">
        <f t="shared" si="35"/>
        <v/>
      </c>
      <c r="J76" s="56" t="str">
        <f t="shared" si="36"/>
        <v/>
      </c>
      <c r="K76" s="56" t="str">
        <f t="shared" si="37"/>
        <v/>
      </c>
      <c r="L76" s="56" t="str">
        <f t="shared" si="38"/>
        <v/>
      </c>
      <c r="M76" s="56" t="s">
        <v>220</v>
      </c>
      <c r="N76" s="56" t="str">
        <f t="shared" si="39"/>
        <v/>
      </c>
      <c r="O76" s="56" t="s">
        <v>220</v>
      </c>
      <c r="P76" s="56" t="s">
        <v>220</v>
      </c>
      <c r="Q76" s="56" t="s">
        <v>220</v>
      </c>
      <c r="R76" s="56" t="s">
        <v>220</v>
      </c>
      <c r="S76" s="56" t="s">
        <v>220</v>
      </c>
      <c r="T76" s="34" t="str">
        <f t="shared" si="42"/>
        <v/>
      </c>
      <c r="V76" s="12">
        <v>2.5</v>
      </c>
      <c r="W76" s="12">
        <f t="shared" si="46"/>
        <v>2.5</v>
      </c>
      <c r="X76" s="12">
        <v>2.5</v>
      </c>
      <c r="Y76" s="12">
        <v>200</v>
      </c>
      <c r="AA76" s="12">
        <f t="shared" si="43"/>
        <v>2.5</v>
      </c>
      <c r="AF76" s="12"/>
      <c r="AG76" s="12">
        <f t="shared" si="44"/>
        <v>2.5</v>
      </c>
      <c r="AH76" s="90">
        <f t="shared" si="45"/>
        <v>101.25</v>
      </c>
      <c r="AI76" s="99">
        <f>'analyse import'!J77</f>
        <v>0</v>
      </c>
      <c r="AK76" s="12">
        <f t="shared" si="1"/>
        <v>0</v>
      </c>
    </row>
    <row r="77" spans="1:37">
      <c r="C77" s="12"/>
      <c r="D77" s="12"/>
      <c r="E77" s="276"/>
      <c r="F77" s="277"/>
      <c r="G77" s="71"/>
      <c r="AF77" s="12"/>
      <c r="AI77" s="99">
        <f>AI67</f>
        <v>0</v>
      </c>
      <c r="AK77" s="12"/>
    </row>
    <row r="78" spans="1:37">
      <c r="A78" s="32">
        <v>4</v>
      </c>
      <c r="B78" s="32" t="s">
        <v>39</v>
      </c>
      <c r="C78" s="33" t="s">
        <v>5</v>
      </c>
      <c r="D78" s="33" t="s">
        <v>5</v>
      </c>
      <c r="E78" s="273" t="s">
        <v>5</v>
      </c>
      <c r="F78" s="274" t="s">
        <v>5</v>
      </c>
      <c r="G78" s="72" t="s">
        <v>5</v>
      </c>
      <c r="H78" s="33" t="s">
        <v>229</v>
      </c>
      <c r="I78" s="33" t="s">
        <v>228</v>
      </c>
      <c r="J78" s="33" t="s">
        <v>227</v>
      </c>
      <c r="K78" s="33" t="s">
        <v>232</v>
      </c>
      <c r="L78" s="33" t="s">
        <v>267</v>
      </c>
      <c r="M78" s="33" t="s">
        <v>234</v>
      </c>
      <c r="N78" s="33" t="s">
        <v>230</v>
      </c>
      <c r="O78" s="33" t="s">
        <v>170</v>
      </c>
      <c r="P78" s="33" t="s">
        <v>171</v>
      </c>
      <c r="Q78" s="33" t="s">
        <v>231</v>
      </c>
      <c r="R78" s="33" t="s">
        <v>233</v>
      </c>
      <c r="S78" s="33" t="s">
        <v>185</v>
      </c>
      <c r="T78" s="116" t="s">
        <v>272</v>
      </c>
      <c r="AF78" s="12"/>
      <c r="AI78" s="45">
        <f>IF(SUM(AI79:AI89)&gt;0,1,0)</f>
        <v>0</v>
      </c>
      <c r="AK78" s="12"/>
    </row>
    <row r="79" spans="1:37">
      <c r="B79" s="11" t="s">
        <v>40</v>
      </c>
      <c r="C79" s="142">
        <f>'analyse import'!H80</f>
        <v>0</v>
      </c>
      <c r="D79" s="142">
        <f>'analyse import'!I80</f>
        <v>0</v>
      </c>
      <c r="E79" s="263" t="str">
        <f>IF(C79+D79&gt;0,'analyse import'!H80*10/omrekenen!H$4,"")</f>
        <v/>
      </c>
      <c r="F79" s="264" t="str">
        <f>IF(C79+D79&gt;0,'analyse import'!I80*10/omrekenen!I$4,"")</f>
        <v/>
      </c>
      <c r="G79" s="73" t="str">
        <f>IF(C79+D79&gt;0,(E79+F79)/'analyse import'!K80,"")</f>
        <v/>
      </c>
      <c r="H79" s="56" t="s">
        <v>220</v>
      </c>
      <c r="I79" s="56" t="s">
        <v>220</v>
      </c>
      <c r="J79" s="56" t="s">
        <v>220</v>
      </c>
      <c r="K79" s="56" t="s">
        <v>220</v>
      </c>
      <c r="L79" s="56" t="s">
        <v>220</v>
      </c>
      <c r="M79" s="56" t="s">
        <v>220</v>
      </c>
      <c r="N79" s="56" t="s">
        <v>220</v>
      </c>
      <c r="O79" s="56" t="s">
        <v>220</v>
      </c>
      <c r="P79" s="56" t="s">
        <v>220</v>
      </c>
      <c r="Q79" s="56" t="s">
        <v>220</v>
      </c>
      <c r="R79" s="56" t="s">
        <v>220</v>
      </c>
      <c r="S79" s="56" t="s">
        <v>220</v>
      </c>
      <c r="T79" s="34" t="str">
        <f t="shared" ref="T79:T89" si="47">IF(C79*D79&gt;0,MAX(C79:D79)/MIN(C79:D79),"")</f>
        <v/>
      </c>
      <c r="AF79" s="12"/>
      <c r="AI79" s="99">
        <f>'analyse import'!J80</f>
        <v>0</v>
      </c>
      <c r="AK79" s="12">
        <f t="shared" si="1"/>
        <v>0</v>
      </c>
    </row>
    <row r="80" spans="1:37">
      <c r="B80" s="11" t="s">
        <v>41</v>
      </c>
      <c r="C80" s="142">
        <f>'analyse import'!H81</f>
        <v>0</v>
      </c>
      <c r="D80" s="142">
        <f>'analyse import'!I81</f>
        <v>0</v>
      </c>
      <c r="E80" s="263" t="str">
        <f>IF(C80+D80&gt;0,'analyse import'!H81*10/omrekenen!H$4,"")</f>
        <v/>
      </c>
      <c r="F80" s="264" t="str">
        <f>IF(C80+D80&gt;0,'analyse import'!I81*10/omrekenen!I$4,"")</f>
        <v/>
      </c>
      <c r="G80" s="73" t="str">
        <f>IF(C80+D80&gt;0,(E80+F80)/'analyse import'!K81,"")</f>
        <v/>
      </c>
      <c r="H80" s="56" t="s">
        <v>220</v>
      </c>
      <c r="I80" s="56" t="s">
        <v>220</v>
      </c>
      <c r="J80" s="56" t="s">
        <v>220</v>
      </c>
      <c r="K80" s="56" t="s">
        <v>220</v>
      </c>
      <c r="L80" s="56" t="s">
        <v>220</v>
      </c>
      <c r="M80" s="56" t="s">
        <v>220</v>
      </c>
      <c r="N80" s="56" t="s">
        <v>220</v>
      </c>
      <c r="O80" s="56" t="s">
        <v>220</v>
      </c>
      <c r="P80" s="56" t="s">
        <v>220</v>
      </c>
      <c r="Q80" s="56" t="s">
        <v>220</v>
      </c>
      <c r="R80" s="56" t="s">
        <v>220</v>
      </c>
      <c r="S80" s="56" t="s">
        <v>220</v>
      </c>
      <c r="T80" s="34" t="str">
        <f t="shared" si="47"/>
        <v/>
      </c>
      <c r="AF80" s="12"/>
      <c r="AI80" s="99">
        <f>'analyse import'!J81</f>
        <v>0</v>
      </c>
      <c r="AK80" s="12">
        <f t="shared" si="1"/>
        <v>0</v>
      </c>
    </row>
    <row r="81" spans="1:37">
      <c r="B81" s="11" t="s">
        <v>42</v>
      </c>
      <c r="C81" s="142">
        <f>'analyse import'!H82</f>
        <v>0</v>
      </c>
      <c r="D81" s="142">
        <f>'analyse import'!I82</f>
        <v>0</v>
      </c>
      <c r="E81" s="263" t="str">
        <f>IF(C81+D81&gt;0,'analyse import'!H82*10/omrekenen!$H$4,"")</f>
        <v/>
      </c>
      <c r="F81" s="264" t="str">
        <f>IF(C81+D81&gt;0,'analyse import'!I82*10/omrekenen!$H$4,"")</f>
        <v/>
      </c>
      <c r="G81" s="73" t="str">
        <f>IF(C81+D81&gt;0,(E81+F81)/'analyse import'!K82,"")</f>
        <v/>
      </c>
      <c r="H81" s="56" t="s">
        <v>220</v>
      </c>
      <c r="I81" s="56" t="s">
        <v>220</v>
      </c>
      <c r="J81" s="56" t="s">
        <v>220</v>
      </c>
      <c r="K81" s="56" t="s">
        <v>220</v>
      </c>
      <c r="L81" s="56" t="s">
        <v>220</v>
      </c>
      <c r="M81" s="56" t="s">
        <v>220</v>
      </c>
      <c r="N81" s="56" t="s">
        <v>220</v>
      </c>
      <c r="O81" s="56" t="s">
        <v>220</v>
      </c>
      <c r="P81" s="56" t="s">
        <v>220</v>
      </c>
      <c r="Q81" s="56" t="s">
        <v>220</v>
      </c>
      <c r="R81" s="56" t="s">
        <v>220</v>
      </c>
      <c r="S81" s="56" t="s">
        <v>220</v>
      </c>
      <c r="T81" s="34" t="str">
        <f t="shared" si="47"/>
        <v/>
      </c>
      <c r="AF81" s="12"/>
      <c r="AI81" s="99">
        <f>'analyse import'!J82</f>
        <v>0</v>
      </c>
      <c r="AK81" s="12">
        <f t="shared" si="1"/>
        <v>0</v>
      </c>
    </row>
    <row r="82" spans="1:37">
      <c r="B82" s="11" t="s">
        <v>43</v>
      </c>
      <c r="C82" s="142">
        <f>'analyse import'!H83</f>
        <v>0</v>
      </c>
      <c r="D82" s="142">
        <f>'analyse import'!I83</f>
        <v>0</v>
      </c>
      <c r="E82" s="263" t="str">
        <f>IF(C82+D82&gt;0,'analyse import'!H83*10/omrekenen!H$4,"")</f>
        <v/>
      </c>
      <c r="F82" s="264" t="str">
        <f>IF(C82+D82&gt;0,'analyse import'!I83*10/omrekenen!I$4,"")</f>
        <v/>
      </c>
      <c r="G82" s="73" t="str">
        <f>IF(C82+D82&gt;0,(E82+F82)/'analyse import'!K83,"")</f>
        <v/>
      </c>
      <c r="H82" s="56" t="s">
        <v>220</v>
      </c>
      <c r="I82" s="56" t="s">
        <v>220</v>
      </c>
      <c r="J82" s="56" t="s">
        <v>220</v>
      </c>
      <c r="K82" s="56" t="s">
        <v>220</v>
      </c>
      <c r="L82" s="56" t="s">
        <v>220</v>
      </c>
      <c r="M82" s="56" t="s">
        <v>220</v>
      </c>
      <c r="N82" s="56" t="s">
        <v>220</v>
      </c>
      <c r="O82" s="56" t="s">
        <v>220</v>
      </c>
      <c r="P82" s="56" t="s">
        <v>220</v>
      </c>
      <c r="Q82" s="56" t="s">
        <v>220</v>
      </c>
      <c r="R82" s="56" t="s">
        <v>220</v>
      </c>
      <c r="S82" s="56" t="s">
        <v>220</v>
      </c>
      <c r="T82" s="34" t="str">
        <f t="shared" si="47"/>
        <v/>
      </c>
      <c r="AF82" s="12"/>
      <c r="AI82" s="99">
        <f>'analyse import'!J83</f>
        <v>0</v>
      </c>
      <c r="AK82" s="12">
        <f t="shared" si="1"/>
        <v>0</v>
      </c>
    </row>
    <row r="83" spans="1:37">
      <c r="B83" s="11" t="s">
        <v>44</v>
      </c>
      <c r="C83" s="142">
        <f>'analyse import'!H84</f>
        <v>0</v>
      </c>
      <c r="D83" s="142">
        <f>'analyse import'!I84</f>
        <v>0</v>
      </c>
      <c r="E83" s="263" t="str">
        <f>IF(C83+D83&gt;0,'analyse import'!H84*10/omrekenen!H$4,"")</f>
        <v/>
      </c>
      <c r="F83" s="264" t="str">
        <f>IF(C83+D83&gt;0,'analyse import'!I84*10/omrekenen!I$4,"")</f>
        <v/>
      </c>
      <c r="G83" s="73" t="str">
        <f>IF(C83+D83&gt;0,(E83+F83)/'analyse import'!K84,"")</f>
        <v/>
      </c>
      <c r="H83" s="56" t="s">
        <v>220</v>
      </c>
      <c r="I83" s="56" t="s">
        <v>220</v>
      </c>
      <c r="J83" s="56" t="s">
        <v>220</v>
      </c>
      <c r="K83" s="56" t="s">
        <v>220</v>
      </c>
      <c r="L83" s="56" t="s">
        <v>220</v>
      </c>
      <c r="M83" s="56" t="s">
        <v>220</v>
      </c>
      <c r="N83" s="56" t="s">
        <v>220</v>
      </c>
      <c r="O83" s="56" t="s">
        <v>220</v>
      </c>
      <c r="P83" s="56" t="s">
        <v>220</v>
      </c>
      <c r="Q83" s="56" t="s">
        <v>220</v>
      </c>
      <c r="R83" s="56" t="s">
        <v>220</v>
      </c>
      <c r="S83" s="56" t="s">
        <v>220</v>
      </c>
      <c r="T83" s="34" t="str">
        <f t="shared" si="47"/>
        <v/>
      </c>
      <c r="AF83" s="12"/>
      <c r="AI83" s="99">
        <f>'analyse import'!J84</f>
        <v>0</v>
      </c>
      <c r="AK83" s="12">
        <f t="shared" si="1"/>
        <v>0</v>
      </c>
    </row>
    <row r="84" spans="1:37">
      <c r="B84" s="11" t="s">
        <v>45</v>
      </c>
      <c r="C84" s="142">
        <f>'analyse import'!H85</f>
        <v>0</v>
      </c>
      <c r="D84" s="142">
        <f>'analyse import'!I85</f>
        <v>0</v>
      </c>
      <c r="E84" s="263" t="str">
        <f>IF(C84+D84&gt;0,'analyse import'!H85*10/omrekenen!H$4,"")</f>
        <v/>
      </c>
      <c r="F84" s="264" t="str">
        <f>IF(C84+D84&gt;0,'analyse import'!I85*10/omrekenen!I$4,"")</f>
        <v/>
      </c>
      <c r="G84" s="73" t="str">
        <f>IF(C84+D84&gt;0,(E84+F84)/'analyse import'!K85,"")</f>
        <v/>
      </c>
      <c r="H84" s="56" t="s">
        <v>220</v>
      </c>
      <c r="I84" s="56" t="s">
        <v>220</v>
      </c>
      <c r="J84" s="56" t="s">
        <v>220</v>
      </c>
      <c r="K84" s="56" t="s">
        <v>220</v>
      </c>
      <c r="L84" s="56" t="s">
        <v>220</v>
      </c>
      <c r="M84" s="56" t="s">
        <v>220</v>
      </c>
      <c r="N84" s="56" t="s">
        <v>220</v>
      </c>
      <c r="O84" s="56" t="s">
        <v>220</v>
      </c>
      <c r="P84" s="56" t="s">
        <v>220</v>
      </c>
      <c r="Q84" s="56" t="s">
        <v>220</v>
      </c>
      <c r="R84" s="56" t="s">
        <v>220</v>
      </c>
      <c r="S84" s="56" t="s">
        <v>220</v>
      </c>
      <c r="T84" s="34" t="str">
        <f t="shared" si="47"/>
        <v/>
      </c>
      <c r="AF84" s="12"/>
      <c r="AI84" s="99">
        <f>'analyse import'!J85</f>
        <v>0</v>
      </c>
      <c r="AK84" s="12">
        <f t="shared" si="1"/>
        <v>0</v>
      </c>
    </row>
    <row r="85" spans="1:37">
      <c r="B85" s="11" t="s">
        <v>46</v>
      </c>
      <c r="C85" s="142">
        <f>'analyse import'!H86</f>
        <v>0</v>
      </c>
      <c r="D85" s="142">
        <f>'analyse import'!I86</f>
        <v>0</v>
      </c>
      <c r="E85" s="263" t="str">
        <f>IF(C85+D85&gt;0,'analyse import'!H86*10/omrekenen!H$4,"")</f>
        <v/>
      </c>
      <c r="F85" s="264" t="str">
        <f>IF(C85+D85&gt;0,'analyse import'!I86*10/omrekenen!I$4,"")</f>
        <v/>
      </c>
      <c r="G85" s="73" t="str">
        <f>IF(C85+D85&gt;0,(E85+F85)/'analyse import'!K86,"")</f>
        <v/>
      </c>
      <c r="H85" s="56" t="s">
        <v>220</v>
      </c>
      <c r="I85" s="56" t="s">
        <v>220</v>
      </c>
      <c r="J85" s="56" t="s">
        <v>220</v>
      </c>
      <c r="K85" s="56" t="s">
        <v>220</v>
      </c>
      <c r="L85" s="56" t="s">
        <v>220</v>
      </c>
      <c r="M85" s="56" t="s">
        <v>220</v>
      </c>
      <c r="N85" s="56" t="s">
        <v>220</v>
      </c>
      <c r="O85" s="56" t="s">
        <v>220</v>
      </c>
      <c r="P85" s="56" t="s">
        <v>220</v>
      </c>
      <c r="Q85" s="56" t="s">
        <v>220</v>
      </c>
      <c r="R85" s="56" t="s">
        <v>220</v>
      </c>
      <c r="S85" s="56" t="s">
        <v>220</v>
      </c>
      <c r="T85" s="34" t="str">
        <f t="shared" si="47"/>
        <v/>
      </c>
      <c r="AF85" s="12"/>
      <c r="AI85" s="99">
        <f>'analyse import'!J86</f>
        <v>0</v>
      </c>
      <c r="AK85" s="12">
        <f t="shared" si="1"/>
        <v>0</v>
      </c>
    </row>
    <row r="86" spans="1:37">
      <c r="B86" s="11" t="s">
        <v>47</v>
      </c>
      <c r="C86" s="142">
        <f>'analyse import'!H87</f>
        <v>0</v>
      </c>
      <c r="D86" s="142">
        <f>'analyse import'!I87</f>
        <v>0</v>
      </c>
      <c r="E86" s="263" t="str">
        <f>IF(C86+D86&gt;0,'analyse import'!H87*10/omrekenen!H$4,"")</f>
        <v/>
      </c>
      <c r="F86" s="264" t="str">
        <f>IF(C86+D86&gt;0,'analyse import'!I87*10/omrekenen!I$4,"")</f>
        <v/>
      </c>
      <c r="G86" s="73" t="str">
        <f>IF(C86+D86&gt;0,(E86+F86)/'analyse import'!K87,"")</f>
        <v/>
      </c>
      <c r="H86" s="56" t="s">
        <v>220</v>
      </c>
      <c r="I86" s="56" t="s">
        <v>220</v>
      </c>
      <c r="J86" s="56" t="s">
        <v>220</v>
      </c>
      <c r="K86" s="56" t="s">
        <v>220</v>
      </c>
      <c r="L86" s="56" t="s">
        <v>220</v>
      </c>
      <c r="M86" s="56" t="s">
        <v>220</v>
      </c>
      <c r="N86" s="56" t="s">
        <v>220</v>
      </c>
      <c r="O86" s="56" t="s">
        <v>220</v>
      </c>
      <c r="P86" s="56" t="s">
        <v>220</v>
      </c>
      <c r="Q86" s="56" t="s">
        <v>220</v>
      </c>
      <c r="R86" s="56" t="s">
        <v>220</v>
      </c>
      <c r="S86" s="56" t="s">
        <v>220</v>
      </c>
      <c r="T86" s="34" t="str">
        <f t="shared" si="47"/>
        <v/>
      </c>
      <c r="AF86" s="12"/>
      <c r="AI86" s="99">
        <f>'analyse import'!J87</f>
        <v>0</v>
      </c>
      <c r="AK86" s="12">
        <f t="shared" si="1"/>
        <v>0</v>
      </c>
    </row>
    <row r="87" spans="1:37">
      <c r="B87" s="11" t="s">
        <v>48</v>
      </c>
      <c r="C87" s="142">
        <f>'analyse import'!H88</f>
        <v>0</v>
      </c>
      <c r="D87" s="142">
        <f>'analyse import'!I88</f>
        <v>0</v>
      </c>
      <c r="E87" s="263" t="str">
        <f>IF(C87+D87&gt;0,'analyse import'!H88*10/omrekenen!H$4,"")</f>
        <v/>
      </c>
      <c r="F87" s="264" t="str">
        <f>IF(C87+D87&gt;0,'analyse import'!I88*10/omrekenen!I$4,"")</f>
        <v/>
      </c>
      <c r="G87" s="73" t="str">
        <f>IF(C87+D87&gt;0,(E87+F87)/'analyse import'!K88,"")</f>
        <v/>
      </c>
      <c r="H87" s="56" t="s">
        <v>220</v>
      </c>
      <c r="I87" s="56" t="s">
        <v>220</v>
      </c>
      <c r="J87" s="56" t="s">
        <v>220</v>
      </c>
      <c r="K87" s="56" t="s">
        <v>220</v>
      </c>
      <c r="L87" s="56" t="s">
        <v>220</v>
      </c>
      <c r="M87" s="56" t="s">
        <v>220</v>
      </c>
      <c r="N87" s="56" t="s">
        <v>220</v>
      </c>
      <c r="O87" s="56" t="s">
        <v>220</v>
      </c>
      <c r="P87" s="56" t="s">
        <v>220</v>
      </c>
      <c r="Q87" s="56" t="s">
        <v>220</v>
      </c>
      <c r="R87" s="56" t="s">
        <v>220</v>
      </c>
      <c r="S87" s="56" t="s">
        <v>220</v>
      </c>
      <c r="T87" s="34" t="str">
        <f t="shared" si="47"/>
        <v/>
      </c>
      <c r="AF87" s="12"/>
      <c r="AI87" s="99">
        <f>'analyse import'!J88</f>
        <v>0</v>
      </c>
      <c r="AK87" s="12">
        <f t="shared" si="1"/>
        <v>0</v>
      </c>
    </row>
    <row r="88" spans="1:37">
      <c r="B88" s="11" t="s">
        <v>49</v>
      </c>
      <c r="C88" s="142">
        <f>'analyse import'!H89</f>
        <v>0</v>
      </c>
      <c r="D88" s="142">
        <f>'analyse import'!I89</f>
        <v>0</v>
      </c>
      <c r="E88" s="263" t="str">
        <f>IF(C88+D88&gt;0,'analyse import'!H89*10/omrekenen!H$4,"")</f>
        <v/>
      </c>
      <c r="F88" s="264" t="str">
        <f>IF(C88+D88&gt;0,'analyse import'!I89*10/omrekenen!I$4,"")</f>
        <v/>
      </c>
      <c r="G88" s="73" t="str">
        <f>IF(C88+D88&gt;0,(E88+F88)/'analyse import'!K89,"")</f>
        <v/>
      </c>
      <c r="H88" s="56" t="s">
        <v>220</v>
      </c>
      <c r="I88" s="56" t="s">
        <v>220</v>
      </c>
      <c r="J88" s="56" t="s">
        <v>220</v>
      </c>
      <c r="K88" s="56" t="s">
        <v>220</v>
      </c>
      <c r="L88" s="56" t="s">
        <v>220</v>
      </c>
      <c r="M88" s="56" t="s">
        <v>220</v>
      </c>
      <c r="N88" s="56" t="s">
        <v>220</v>
      </c>
      <c r="O88" s="56" t="s">
        <v>220</v>
      </c>
      <c r="P88" s="56" t="s">
        <v>220</v>
      </c>
      <c r="Q88" s="56" t="s">
        <v>220</v>
      </c>
      <c r="R88" s="56" t="s">
        <v>220</v>
      </c>
      <c r="S88" s="56" t="s">
        <v>220</v>
      </c>
      <c r="T88" s="34" t="str">
        <f t="shared" si="47"/>
        <v/>
      </c>
      <c r="AF88" s="12"/>
      <c r="AI88" s="99">
        <f>'analyse import'!J89</f>
        <v>0</v>
      </c>
      <c r="AK88" s="12">
        <f t="shared" si="1"/>
        <v>0</v>
      </c>
    </row>
    <row r="89" spans="1:37">
      <c r="B89" s="11" t="s">
        <v>50</v>
      </c>
      <c r="C89" s="12">
        <f>'analyse import'!H90</f>
        <v>0</v>
      </c>
      <c r="D89" s="12">
        <f>'analyse import'!I90</f>
        <v>0</v>
      </c>
      <c r="E89" s="263" t="str">
        <f>IF(C89+D89&gt;0,'analyse import'!H90*10/omrekenen!H$4,"")</f>
        <v/>
      </c>
      <c r="F89" s="264" t="str">
        <f>IF(C89+D89&gt;0,'analyse import'!I90*10/omrekenen!I$4,"")</f>
        <v/>
      </c>
      <c r="G89" s="73" t="str">
        <f>IF(C89+D89&gt;0,(E89+F89)/'analyse import'!K90,"")</f>
        <v/>
      </c>
      <c r="H89" s="56" t="str">
        <f>IF($C89+$D89&gt;0,IF($G89&gt;2*V89,"2x",IF($G89&gt;V89,"X","-")),"")</f>
        <v/>
      </c>
      <c r="I89" s="56" t="str">
        <f>IF($C89+D89&gt;0,IF($G89&gt;AG89,"@",IF(G89&gt;W89,"X","-")),"")</f>
        <v/>
      </c>
      <c r="J89" s="56" t="str">
        <f>IF($C89+D89&gt;0,IF($G89&gt;X89,"X","-"),"")</f>
        <v/>
      </c>
      <c r="K89" s="56" t="str">
        <f>IF($C89+D89&gt;0,IF($G89&gt;Y89,"X","-"),"")</f>
        <v/>
      </c>
      <c r="L89" s="56" t="str">
        <f>IF($C89+D89&gt;0,IF($G89&gt;AH89,"X","-"),"")</f>
        <v/>
      </c>
      <c r="M89" s="56" t="s">
        <v>220</v>
      </c>
      <c r="N89" s="56" t="str">
        <f>IF($C89+D89&gt;0,IF($G89&gt;AA89,"X","-"),"")</f>
        <v/>
      </c>
      <c r="O89" s="56" t="str">
        <f>IF($C89&gt;0,IF($G89&gt;AB89,"X","-"),"")</f>
        <v/>
      </c>
      <c r="P89" s="56" t="str">
        <f>IF($C89+D89&gt;0,IF($G89&gt;AC89,"X","-"),"")</f>
        <v/>
      </c>
      <c r="Q89" s="56" t="str">
        <f>IF($C89+D89&gt;0,IF($G89&gt;AD89,"X","-"),"")</f>
        <v/>
      </c>
      <c r="R89" s="56" t="s">
        <v>220</v>
      </c>
      <c r="S89" s="56" t="str">
        <f>IF($C89&gt;0,IF($G89&gt;AF89,"X","-"),"")</f>
        <v/>
      </c>
      <c r="T89" s="34" t="str">
        <f t="shared" si="47"/>
        <v/>
      </c>
      <c r="V89" s="12">
        <v>1.5</v>
      </c>
      <c r="W89" s="12">
        <v>6.8</v>
      </c>
      <c r="X89" s="12">
        <v>40</v>
      </c>
      <c r="Y89" s="12">
        <v>40</v>
      </c>
      <c r="AA89" s="12">
        <f>V89</f>
        <v>1.5</v>
      </c>
      <c r="AB89" s="12">
        <v>9</v>
      </c>
      <c r="AC89" s="12">
        <v>40</v>
      </c>
      <c r="AD89" s="12">
        <f>AC89</f>
        <v>40</v>
      </c>
      <c r="AF89" s="12">
        <v>8</v>
      </c>
      <c r="AG89" s="12">
        <f>IF(V89+W89&gt;X89,X89,V89+W89)</f>
        <v>8.3000000000000007</v>
      </c>
      <c r="AH89" s="12">
        <f>(V89+Y89)/2</f>
        <v>20.75</v>
      </c>
      <c r="AI89" s="45">
        <f>'analyse import'!J90</f>
        <v>0</v>
      </c>
      <c r="AK89" s="12">
        <f t="shared" si="1"/>
        <v>0</v>
      </c>
    </row>
    <row r="90" spans="1:37">
      <c r="C90" s="12"/>
      <c r="D90" s="12"/>
      <c r="E90" s="276"/>
      <c r="F90" s="277"/>
      <c r="G90" s="71"/>
      <c r="AF90" s="12"/>
      <c r="AI90" s="45">
        <f>AI78</f>
        <v>0</v>
      </c>
      <c r="AK90" s="12"/>
    </row>
    <row r="91" spans="1:37">
      <c r="A91" s="32">
        <v>5</v>
      </c>
      <c r="B91" s="32" t="s">
        <v>64</v>
      </c>
      <c r="C91" s="33" t="s">
        <v>5</v>
      </c>
      <c r="D91" s="33" t="s">
        <v>5</v>
      </c>
      <c r="E91" s="273" t="s">
        <v>5</v>
      </c>
      <c r="F91" s="274" t="s">
        <v>5</v>
      </c>
      <c r="G91" s="72" t="s">
        <v>5</v>
      </c>
      <c r="H91" s="33" t="s">
        <v>229</v>
      </c>
      <c r="I91" s="33" t="s">
        <v>228</v>
      </c>
      <c r="J91" s="33" t="s">
        <v>227</v>
      </c>
      <c r="K91" s="33" t="s">
        <v>232</v>
      </c>
      <c r="L91" s="33" t="s">
        <v>267</v>
      </c>
      <c r="M91" s="33" t="s">
        <v>234</v>
      </c>
      <c r="N91" s="33" t="s">
        <v>230</v>
      </c>
      <c r="O91" s="33" t="s">
        <v>170</v>
      </c>
      <c r="P91" s="33" t="s">
        <v>171</v>
      </c>
      <c r="Q91" s="33" t="s">
        <v>231</v>
      </c>
      <c r="R91" s="33" t="s">
        <v>233</v>
      </c>
      <c r="S91" s="33" t="s">
        <v>185</v>
      </c>
      <c r="T91" s="116" t="s">
        <v>272</v>
      </c>
      <c r="V91" s="283" t="s">
        <v>198</v>
      </c>
      <c r="W91" s="283" t="s">
        <v>169</v>
      </c>
      <c r="X91" s="283" t="s">
        <v>150</v>
      </c>
      <c r="Y91" s="283" t="s">
        <v>173</v>
      </c>
      <c r="Z91" s="283" t="s">
        <v>174</v>
      </c>
      <c r="AA91" s="283"/>
      <c r="AB91" s="283" t="s">
        <v>170</v>
      </c>
      <c r="AC91" s="283" t="s">
        <v>171</v>
      </c>
      <c r="AD91" s="283" t="s">
        <v>172</v>
      </c>
      <c r="AE91" s="283" t="s">
        <v>175</v>
      </c>
      <c r="AF91" s="283" t="s">
        <v>185</v>
      </c>
      <c r="AG91" s="283" t="s">
        <v>266</v>
      </c>
      <c r="AH91" s="283" t="s">
        <v>277</v>
      </c>
      <c r="AI91" s="45">
        <f>IF(AI92=1,1,IF(AI107=1,1,IF(AI116=1,1,IF(AI124=1,1,IF(AI134=1,1,0)))))</f>
        <v>0</v>
      </c>
      <c r="AK91" s="12"/>
    </row>
    <row r="92" spans="1:37" s="29" customFormat="1">
      <c r="A92" s="37" t="s">
        <v>65</v>
      </c>
      <c r="B92" s="38" t="s">
        <v>66</v>
      </c>
      <c r="E92" s="270"/>
      <c r="F92" s="258"/>
      <c r="G92" s="280"/>
      <c r="H92" s="257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45">
        <f>IF(SUM(AI93:AI105)&gt;0,1,0)</f>
        <v>0</v>
      </c>
      <c r="AK92" s="12"/>
    </row>
    <row r="93" spans="1:37">
      <c r="B93" s="11" t="s">
        <v>51</v>
      </c>
      <c r="C93" s="142">
        <f ca="1">'analyse import'!H94</f>
        <v>0</v>
      </c>
      <c r="D93" s="142">
        <f ca="1">'analyse import'!I94</f>
        <v>0</v>
      </c>
      <c r="E93" s="263">
        <f ca="1">C93</f>
        <v>0</v>
      </c>
      <c r="F93" s="264">
        <f ca="1">D93</f>
        <v>0</v>
      </c>
      <c r="G93" s="73" t="str">
        <f ca="1">IF(C93+D93&gt;0,(E93+F93)/'analyse import'!K94,"")</f>
        <v/>
      </c>
      <c r="H93" s="56" t="str">
        <f t="shared" ref="H93:H105" ca="1" si="48">IF($C93+$D93&gt;0,IF($G93&gt;2*V93,"2x",IF($G93&gt;V93,"X","-")),"")</f>
        <v/>
      </c>
      <c r="I93" s="56" t="str">
        <f t="shared" ref="I93:I105" ca="1" si="49">IF($C93+D93&gt;0,IF($G93&gt;AG93,"@",IF(G93&gt;W93,"X","-")),"")</f>
        <v/>
      </c>
      <c r="J93" s="56" t="str">
        <f t="shared" ref="J93:J105" ca="1" si="50">IF($C93+D93&gt;0,IF($G93&gt;X93,"X","-"),"")</f>
        <v/>
      </c>
      <c r="K93" s="56" t="str">
        <f t="shared" ref="K93:K105" ca="1" si="51">IF($C93+D93&gt;0,IF($G93&gt;Y93,"X","-"),"")</f>
        <v/>
      </c>
      <c r="L93" s="56" t="str">
        <f t="shared" ref="L93:L105" ca="1" si="52">IF($C93+D93&gt;0,IF($G93&gt;AH93,"X","-"),"")</f>
        <v/>
      </c>
      <c r="M93" s="56" t="s">
        <v>220</v>
      </c>
      <c r="N93" s="56" t="str">
        <f t="shared" ref="N93:N105" ca="1" si="53">IF($C93+D93&gt;0,IF($G93&gt;AA93,"X","-"),"")</f>
        <v/>
      </c>
      <c r="O93" s="56" t="s">
        <v>220</v>
      </c>
      <c r="P93" s="56" t="str">
        <f t="shared" ref="P93:P105" ca="1" si="54">IF($C93+D93&gt;0,IF($G93&gt;AC93,"X","-"),"")</f>
        <v/>
      </c>
      <c r="Q93" s="56" t="str">
        <f t="shared" ref="Q93:Q105" ca="1" si="55">IF($C93+D93&gt;0,IF($G93&gt;AD93,"X","-"),"")</f>
        <v/>
      </c>
      <c r="R93" s="56" t="s">
        <v>220</v>
      </c>
      <c r="S93" s="56" t="s">
        <v>220</v>
      </c>
      <c r="T93" s="34" t="str">
        <f t="shared" ref="T93:T105" ca="1" si="56">IF(C93*D93&gt;0,MAX(C93:D93)/MIN(C93:D93),"")</f>
        <v/>
      </c>
      <c r="V93" s="12">
        <v>0.1</v>
      </c>
      <c r="W93" s="12">
        <f>V93</f>
        <v>0.1</v>
      </c>
      <c r="X93" s="12">
        <v>0.1</v>
      </c>
      <c r="Y93" s="12">
        <v>0.1</v>
      </c>
      <c r="AA93" s="12">
        <f t="shared" ref="AA93:AA105" si="57">V93</f>
        <v>0.1</v>
      </c>
      <c r="AC93" s="12">
        <v>0.1</v>
      </c>
      <c r="AD93" s="12">
        <f>AC93</f>
        <v>0.1</v>
      </c>
      <c r="AF93" s="12"/>
      <c r="AG93" s="12">
        <f t="shared" ref="AG93:AG105" si="58">IF(V93+W93&gt;X93,X93,V93+W93)</f>
        <v>0.1</v>
      </c>
      <c r="AH93" s="90">
        <f t="shared" ref="AH93:AH105" si="59">(V93+Y93)/2</f>
        <v>0.1</v>
      </c>
      <c r="AI93" s="99">
        <f>'analyse import'!J94</f>
        <v>0</v>
      </c>
      <c r="AK93" s="12">
        <f t="shared" ref="AK93:AK156" ca="1" si="60">IF(K93="X",1,0)</f>
        <v>0</v>
      </c>
    </row>
    <row r="94" spans="1:37">
      <c r="B94" s="11" t="s">
        <v>52</v>
      </c>
      <c r="C94" s="142">
        <f ca="1">'analyse import'!H95</f>
        <v>0</v>
      </c>
      <c r="D94" s="142">
        <f ca="1">'analyse import'!I95</f>
        <v>0</v>
      </c>
      <c r="E94" s="263">
        <f t="shared" ref="E94:E105" ca="1" si="61">C94</f>
        <v>0</v>
      </c>
      <c r="F94" s="264">
        <f t="shared" ref="F94:F105" ca="1" si="62">D94</f>
        <v>0</v>
      </c>
      <c r="G94" s="73" t="str">
        <f ca="1">IF(C94+D94&gt;0,(E94+F94)/'analyse import'!K95,"")</f>
        <v/>
      </c>
      <c r="H94" s="56" t="str">
        <f t="shared" ca="1" si="48"/>
        <v/>
      </c>
      <c r="I94" s="56" t="str">
        <f t="shared" ca="1" si="49"/>
        <v/>
      </c>
      <c r="J94" s="56" t="str">
        <f t="shared" ca="1" si="50"/>
        <v/>
      </c>
      <c r="K94" s="56" t="str">
        <f t="shared" ca="1" si="51"/>
        <v/>
      </c>
      <c r="L94" s="56" t="str">
        <f t="shared" ca="1" si="52"/>
        <v/>
      </c>
      <c r="M94" s="56" t="s">
        <v>220</v>
      </c>
      <c r="N94" s="56" t="str">
        <f t="shared" ca="1" si="53"/>
        <v/>
      </c>
      <c r="O94" s="56" t="s">
        <v>220</v>
      </c>
      <c r="P94" s="56" t="str">
        <f t="shared" ca="1" si="54"/>
        <v/>
      </c>
      <c r="Q94" s="56" t="str">
        <f t="shared" ca="1" si="55"/>
        <v/>
      </c>
      <c r="R94" s="56" t="s">
        <v>220</v>
      </c>
      <c r="S94" s="56" t="s">
        <v>220</v>
      </c>
      <c r="T94" s="34" t="str">
        <f t="shared" ca="1" si="56"/>
        <v/>
      </c>
      <c r="V94" s="12">
        <v>0.1</v>
      </c>
      <c r="W94" s="12">
        <f t="shared" ref="W94:W105" si="63">V94</f>
        <v>0.1</v>
      </c>
      <c r="X94" s="12">
        <v>3.9</v>
      </c>
      <c r="Y94" s="12">
        <v>3.9</v>
      </c>
      <c r="AA94" s="12">
        <f t="shared" si="57"/>
        <v>0.1</v>
      </c>
      <c r="AC94" s="12">
        <v>10</v>
      </c>
      <c r="AD94" s="12">
        <f t="shared" ref="AD94:AD105" si="64">AC94</f>
        <v>10</v>
      </c>
      <c r="AF94" s="12"/>
      <c r="AG94" s="12">
        <f t="shared" si="58"/>
        <v>0.2</v>
      </c>
      <c r="AH94" s="90">
        <f t="shared" si="59"/>
        <v>2</v>
      </c>
      <c r="AI94" s="99">
        <f>'analyse import'!J95</f>
        <v>0</v>
      </c>
      <c r="AK94" s="12">
        <f t="shared" ca="1" si="60"/>
        <v>0</v>
      </c>
    </row>
    <row r="95" spans="1:37">
      <c r="B95" s="11" t="s">
        <v>54</v>
      </c>
      <c r="C95" s="142">
        <f ca="1">'analyse import'!H96</f>
        <v>0</v>
      </c>
      <c r="D95" s="142">
        <f ca="1">'analyse import'!I96</f>
        <v>0</v>
      </c>
      <c r="E95" s="263">
        <f t="shared" ca="1" si="61"/>
        <v>0</v>
      </c>
      <c r="F95" s="264">
        <f t="shared" ca="1" si="62"/>
        <v>0</v>
      </c>
      <c r="G95" s="73" t="str">
        <f ca="1">IF(C95+D95&gt;0,(E95+F95)/'analyse import'!K96,"")</f>
        <v/>
      </c>
      <c r="H95" s="56" t="str">
        <f t="shared" ca="1" si="48"/>
        <v/>
      </c>
      <c r="I95" s="56" t="str">
        <f t="shared" ca="1" si="49"/>
        <v/>
      </c>
      <c r="J95" s="56" t="str">
        <f t="shared" ca="1" si="50"/>
        <v/>
      </c>
      <c r="K95" s="56" t="str">
        <f t="shared" ca="1" si="51"/>
        <v/>
      </c>
      <c r="L95" s="56" t="str">
        <f t="shared" ca="1" si="52"/>
        <v/>
      </c>
      <c r="M95" s="56" t="s">
        <v>220</v>
      </c>
      <c r="N95" s="56" t="str">
        <f t="shared" ca="1" si="53"/>
        <v/>
      </c>
      <c r="O95" s="56" t="s">
        <v>220</v>
      </c>
      <c r="P95" s="56" t="str">
        <f t="shared" ca="1" si="54"/>
        <v/>
      </c>
      <c r="Q95" s="56" t="str">
        <f t="shared" ca="1" si="55"/>
        <v/>
      </c>
      <c r="R95" s="56" t="s">
        <v>220</v>
      </c>
      <c r="S95" s="56" t="s">
        <v>220</v>
      </c>
      <c r="T95" s="34" t="str">
        <f t="shared" ca="1" si="56"/>
        <v/>
      </c>
      <c r="V95" s="12">
        <v>0.2</v>
      </c>
      <c r="W95" s="12">
        <f t="shared" si="63"/>
        <v>0.2</v>
      </c>
      <c r="X95" s="12">
        <v>0.2</v>
      </c>
      <c r="Y95" s="12">
        <v>15</v>
      </c>
      <c r="AA95" s="12">
        <f t="shared" si="57"/>
        <v>0.2</v>
      </c>
      <c r="AC95" s="12">
        <v>15</v>
      </c>
      <c r="AD95" s="12">
        <f t="shared" si="64"/>
        <v>15</v>
      </c>
      <c r="AF95" s="12"/>
      <c r="AG95" s="12">
        <f t="shared" si="58"/>
        <v>0.2</v>
      </c>
      <c r="AH95" s="90">
        <f t="shared" si="59"/>
        <v>7.6</v>
      </c>
      <c r="AI95" s="99">
        <f>'analyse import'!J96</f>
        <v>0</v>
      </c>
      <c r="AK95" s="12">
        <f t="shared" ca="1" si="60"/>
        <v>0</v>
      </c>
    </row>
    <row r="96" spans="1:37">
      <c r="B96" s="11" t="s">
        <v>55</v>
      </c>
      <c r="C96" s="142">
        <f ca="1">'analyse import'!H97</f>
        <v>0</v>
      </c>
      <c r="D96" s="142">
        <f ca="1">'analyse import'!I97</f>
        <v>0</v>
      </c>
      <c r="E96" s="263">
        <f t="shared" ca="1" si="61"/>
        <v>0</v>
      </c>
      <c r="F96" s="264">
        <f t="shared" ca="1" si="62"/>
        <v>0</v>
      </c>
      <c r="G96" s="73" t="str">
        <f ca="1">IF(C96+D96&gt;0,(E96+F96)/'analyse import'!K97,"")</f>
        <v/>
      </c>
      <c r="H96" s="56" t="str">
        <f t="shared" ca="1" si="48"/>
        <v/>
      </c>
      <c r="I96" s="56" t="str">
        <f t="shared" ca="1" si="49"/>
        <v/>
      </c>
      <c r="J96" s="56" t="str">
        <f t="shared" ca="1" si="50"/>
        <v/>
      </c>
      <c r="K96" s="56" t="str">
        <f t="shared" ca="1" si="51"/>
        <v/>
      </c>
      <c r="L96" s="56" t="str">
        <f t="shared" ca="1" si="52"/>
        <v/>
      </c>
      <c r="M96" s="56" t="s">
        <v>220</v>
      </c>
      <c r="N96" s="56" t="str">
        <f t="shared" ca="1" si="53"/>
        <v/>
      </c>
      <c r="O96" s="56" t="s">
        <v>220</v>
      </c>
      <c r="P96" s="56" t="str">
        <f t="shared" ca="1" si="54"/>
        <v/>
      </c>
      <c r="Q96" s="56" t="str">
        <f t="shared" ca="1" si="55"/>
        <v/>
      </c>
      <c r="R96" s="56" t="s">
        <v>220</v>
      </c>
      <c r="S96" s="56" t="s">
        <v>220</v>
      </c>
      <c r="T96" s="34" t="str">
        <f t="shared" ca="1" si="56"/>
        <v/>
      </c>
      <c r="V96" s="12">
        <v>0.2</v>
      </c>
      <c r="W96" s="12">
        <f t="shared" si="63"/>
        <v>0.2</v>
      </c>
      <c r="X96" s="12">
        <v>4</v>
      </c>
      <c r="Y96" s="12">
        <v>6.4</v>
      </c>
      <c r="AA96" s="12">
        <f t="shared" si="57"/>
        <v>0.2</v>
      </c>
      <c r="AC96" s="12">
        <v>4</v>
      </c>
      <c r="AD96" s="12">
        <f t="shared" si="64"/>
        <v>4</v>
      </c>
      <c r="AF96" s="12"/>
      <c r="AG96" s="12">
        <f t="shared" si="58"/>
        <v>0.4</v>
      </c>
      <c r="AH96" s="90">
        <f t="shared" si="59"/>
        <v>3.3000000000000003</v>
      </c>
      <c r="AI96" s="99">
        <f>'analyse import'!J97</f>
        <v>0</v>
      </c>
      <c r="AK96" s="12">
        <f t="shared" ca="1" si="60"/>
        <v>0</v>
      </c>
    </row>
    <row r="97" spans="1:37">
      <c r="B97" s="11" t="s">
        <v>53</v>
      </c>
      <c r="C97" s="142">
        <f ca="1">'analyse import'!H98</f>
        <v>0</v>
      </c>
      <c r="D97" s="142">
        <f ca="1">'analyse import'!I98</f>
        <v>0</v>
      </c>
      <c r="E97" s="263">
        <f t="shared" ca="1" si="61"/>
        <v>0</v>
      </c>
      <c r="F97" s="264">
        <f t="shared" ca="1" si="62"/>
        <v>0</v>
      </c>
      <c r="G97" s="73" t="str">
        <f ca="1">IF(C97+D97&gt;0,(E97+F97)/'analyse import'!K98,"")</f>
        <v/>
      </c>
      <c r="H97" s="56" t="str">
        <f t="shared" ca="1" si="48"/>
        <v/>
      </c>
      <c r="I97" s="56" t="str">
        <f t="shared" ca="1" si="49"/>
        <v/>
      </c>
      <c r="J97" s="56" t="str">
        <f t="shared" ca="1" si="50"/>
        <v/>
      </c>
      <c r="K97" s="56" t="str">
        <f t="shared" ca="1" si="51"/>
        <v/>
      </c>
      <c r="L97" s="56" t="str">
        <f t="shared" ca="1" si="52"/>
        <v/>
      </c>
      <c r="M97" s="56" t="s">
        <v>220</v>
      </c>
      <c r="N97" s="56" t="str">
        <f t="shared" ca="1" si="53"/>
        <v/>
      </c>
      <c r="O97" s="56" t="s">
        <v>220</v>
      </c>
      <c r="P97" s="56" t="str">
        <f t="shared" ca="1" si="54"/>
        <v/>
      </c>
      <c r="Q97" s="56" t="str">
        <f t="shared" ca="1" si="55"/>
        <v/>
      </c>
      <c r="R97" s="56" t="s">
        <v>220</v>
      </c>
      <c r="S97" s="56" t="s">
        <v>220</v>
      </c>
      <c r="T97" s="34" t="str">
        <f t="shared" ca="1" si="56"/>
        <v/>
      </c>
      <c r="V97" s="12">
        <v>0.3</v>
      </c>
      <c r="W97" s="12">
        <f t="shared" si="63"/>
        <v>0.3</v>
      </c>
      <c r="X97" s="12">
        <v>0.3</v>
      </c>
      <c r="Y97" s="12">
        <v>0.3</v>
      </c>
      <c r="AA97" s="12">
        <f t="shared" si="57"/>
        <v>0.3</v>
      </c>
      <c r="AC97" s="12">
        <v>0.3</v>
      </c>
      <c r="AD97" s="12">
        <f t="shared" si="64"/>
        <v>0.3</v>
      </c>
      <c r="AF97" s="12"/>
      <c r="AG97" s="12">
        <f t="shared" si="58"/>
        <v>0.3</v>
      </c>
      <c r="AH97" s="90">
        <f t="shared" si="59"/>
        <v>0.3</v>
      </c>
      <c r="AI97" s="99">
        <f>'analyse import'!J98</f>
        <v>0</v>
      </c>
      <c r="AK97" s="12">
        <f t="shared" ca="1" si="60"/>
        <v>0</v>
      </c>
    </row>
    <row r="98" spans="1:37">
      <c r="B98" s="11" t="s">
        <v>56</v>
      </c>
      <c r="C98" s="142">
        <f ca="1">'analyse import'!H99</f>
        <v>0</v>
      </c>
      <c r="D98" s="142">
        <f ca="1">'analyse import'!I99</f>
        <v>0</v>
      </c>
      <c r="E98" s="263">
        <f t="shared" ca="1" si="61"/>
        <v>0</v>
      </c>
      <c r="F98" s="264">
        <f t="shared" ca="1" si="62"/>
        <v>0</v>
      </c>
      <c r="G98" s="73" t="str">
        <f ca="1">IF(C98+D98&gt;0,(E98+F98)/'analyse import'!K99,"")</f>
        <v/>
      </c>
      <c r="H98" s="56" t="str">
        <f t="shared" ca="1" si="48"/>
        <v/>
      </c>
      <c r="I98" s="56" t="str">
        <f t="shared" ca="1" si="49"/>
        <v/>
      </c>
      <c r="J98" s="56" t="str">
        <f t="shared" ca="1" si="50"/>
        <v/>
      </c>
      <c r="K98" s="56" t="str">
        <f t="shared" ca="1" si="51"/>
        <v/>
      </c>
      <c r="L98" s="56" t="str">
        <f t="shared" ca="1" si="52"/>
        <v/>
      </c>
      <c r="M98" s="56" t="s">
        <v>220</v>
      </c>
      <c r="N98" s="56" t="str">
        <f t="shared" ca="1" si="53"/>
        <v/>
      </c>
      <c r="O98" s="56" t="s">
        <v>220</v>
      </c>
      <c r="P98" s="56" t="str">
        <f t="shared" ca="1" si="54"/>
        <v/>
      </c>
      <c r="Q98" s="56" t="str">
        <f t="shared" ca="1" si="55"/>
        <v/>
      </c>
      <c r="R98" s="56" t="s">
        <v>220</v>
      </c>
      <c r="S98" s="56" t="s">
        <v>220</v>
      </c>
      <c r="T98" s="34" t="str">
        <f t="shared" ca="1" si="56"/>
        <v/>
      </c>
      <c r="V98" s="12">
        <v>0.3</v>
      </c>
      <c r="W98" s="12">
        <f t="shared" si="63"/>
        <v>0.3</v>
      </c>
      <c r="X98" s="12">
        <v>0.3</v>
      </c>
      <c r="Y98" s="12">
        <v>1</v>
      </c>
      <c r="AA98" s="12">
        <f t="shared" si="57"/>
        <v>0.3</v>
      </c>
      <c r="AC98" s="12">
        <v>1</v>
      </c>
      <c r="AD98" s="12">
        <f t="shared" si="64"/>
        <v>1</v>
      </c>
      <c r="AF98" s="12"/>
      <c r="AG98" s="12">
        <f t="shared" si="58"/>
        <v>0.3</v>
      </c>
      <c r="AH98" s="90">
        <f t="shared" si="59"/>
        <v>0.65</v>
      </c>
      <c r="AI98" s="99">
        <f>'analyse import'!J99</f>
        <v>0</v>
      </c>
      <c r="AK98" s="12">
        <f t="shared" ca="1" si="60"/>
        <v>0</v>
      </c>
    </row>
    <row r="99" spans="1:37">
      <c r="B99" s="11" t="s">
        <v>264</v>
      </c>
      <c r="C99" s="142">
        <f ca="1">'analyse import'!H100</f>
        <v>0</v>
      </c>
      <c r="D99" s="142">
        <f ca="1">'analyse import'!I100</f>
        <v>0</v>
      </c>
      <c r="E99" s="263">
        <f t="shared" ca="1" si="61"/>
        <v>0</v>
      </c>
      <c r="F99" s="264">
        <f t="shared" ca="1" si="62"/>
        <v>0</v>
      </c>
      <c r="G99" s="73" t="str">
        <f ca="1">IF(C99+D99&gt;0,(E99+F99)/'analyse import'!K100,"")</f>
        <v/>
      </c>
      <c r="H99" s="56" t="str">
        <f t="shared" ca="1" si="48"/>
        <v/>
      </c>
      <c r="I99" s="56" t="str">
        <f t="shared" ca="1" si="49"/>
        <v/>
      </c>
      <c r="J99" s="56" t="str">
        <f t="shared" ca="1" si="50"/>
        <v/>
      </c>
      <c r="K99" s="56" t="str">
        <f t="shared" ca="1" si="51"/>
        <v/>
      </c>
      <c r="L99" s="56" t="str">
        <f t="shared" ca="1" si="52"/>
        <v/>
      </c>
      <c r="M99" s="56" t="s">
        <v>220</v>
      </c>
      <c r="N99" s="56" t="str">
        <f t="shared" ca="1" si="53"/>
        <v/>
      </c>
      <c r="O99" s="56" t="s">
        <v>220</v>
      </c>
      <c r="P99" s="56" t="str">
        <f t="shared" ca="1" si="54"/>
        <v/>
      </c>
      <c r="Q99" s="56" t="str">
        <f t="shared" ca="1" si="55"/>
        <v/>
      </c>
      <c r="R99" s="56" t="s">
        <v>220</v>
      </c>
      <c r="S99" s="56" t="s">
        <v>220</v>
      </c>
      <c r="T99" s="34" t="str">
        <f t="shared" ca="1" si="56"/>
        <v/>
      </c>
      <c r="V99" s="12">
        <v>0.8</v>
      </c>
      <c r="W99" s="12">
        <f t="shared" si="63"/>
        <v>0.8</v>
      </c>
      <c r="X99" s="12">
        <v>0.8</v>
      </c>
      <c r="Y99" s="12">
        <v>2</v>
      </c>
      <c r="AA99" s="12">
        <f t="shared" si="57"/>
        <v>0.8</v>
      </c>
      <c r="AC99" s="12">
        <v>2</v>
      </c>
      <c r="AD99" s="12">
        <f t="shared" si="64"/>
        <v>2</v>
      </c>
      <c r="AF99" s="12"/>
      <c r="AG99" s="12">
        <f t="shared" si="58"/>
        <v>0.8</v>
      </c>
      <c r="AH99" s="90">
        <f t="shared" si="59"/>
        <v>1.4</v>
      </c>
      <c r="AI99" s="99">
        <f>'analyse import'!J100</f>
        <v>0</v>
      </c>
      <c r="AK99" s="12">
        <f t="shared" ca="1" si="60"/>
        <v>0</v>
      </c>
    </row>
    <row r="100" spans="1:37">
      <c r="B100" s="11" t="s">
        <v>58</v>
      </c>
      <c r="C100" s="142">
        <f ca="1">'analyse import'!H101</f>
        <v>0</v>
      </c>
      <c r="D100" s="142">
        <f ca="1">'analyse import'!I101</f>
        <v>0</v>
      </c>
      <c r="E100" s="263">
        <f t="shared" ca="1" si="61"/>
        <v>0</v>
      </c>
      <c r="F100" s="264">
        <f t="shared" ca="1" si="62"/>
        <v>0</v>
      </c>
      <c r="G100" s="73" t="str">
        <f ca="1">IF(C100+D100&gt;0,(E100+F100)/'analyse import'!K101,"")</f>
        <v/>
      </c>
      <c r="H100" s="56" t="str">
        <f t="shared" ca="1" si="48"/>
        <v/>
      </c>
      <c r="I100" s="56" t="str">
        <f t="shared" ca="1" si="49"/>
        <v/>
      </c>
      <c r="J100" s="56" t="str">
        <f t="shared" ca="1" si="50"/>
        <v/>
      </c>
      <c r="K100" s="56" t="str">
        <f t="shared" ca="1" si="51"/>
        <v/>
      </c>
      <c r="L100" s="56" t="str">
        <f t="shared" ca="1" si="52"/>
        <v/>
      </c>
      <c r="M100" s="56" t="s">
        <v>220</v>
      </c>
      <c r="N100" s="56" t="str">
        <f t="shared" ca="1" si="53"/>
        <v/>
      </c>
      <c r="O100" s="56" t="s">
        <v>220</v>
      </c>
      <c r="P100" s="56" t="str">
        <f t="shared" ca="1" si="54"/>
        <v/>
      </c>
      <c r="Q100" s="56" t="str">
        <f t="shared" ca="1" si="55"/>
        <v/>
      </c>
      <c r="R100" s="56" t="s">
        <v>220</v>
      </c>
      <c r="S100" s="56" t="s">
        <v>220</v>
      </c>
      <c r="T100" s="34" t="str">
        <f t="shared" ca="1" si="56"/>
        <v/>
      </c>
      <c r="V100" s="12">
        <v>0.25</v>
      </c>
      <c r="W100" s="12">
        <f t="shared" si="63"/>
        <v>0.25</v>
      </c>
      <c r="X100" s="12">
        <v>3</v>
      </c>
      <c r="Y100" s="12">
        <v>5.6</v>
      </c>
      <c r="AA100" s="12">
        <f t="shared" si="57"/>
        <v>0.25</v>
      </c>
      <c r="AC100" s="12">
        <v>10</v>
      </c>
      <c r="AD100" s="12">
        <f t="shared" si="64"/>
        <v>10</v>
      </c>
      <c r="AF100" s="12"/>
      <c r="AG100" s="12">
        <f t="shared" si="58"/>
        <v>0.5</v>
      </c>
      <c r="AH100" s="90">
        <f t="shared" si="59"/>
        <v>2.9249999999999998</v>
      </c>
      <c r="AI100" s="99">
        <f>'analyse import'!J101</f>
        <v>0</v>
      </c>
      <c r="AK100" s="12">
        <f t="shared" ca="1" si="60"/>
        <v>0</v>
      </c>
    </row>
    <row r="101" spans="1:37">
      <c r="B101" s="11" t="s">
        <v>59</v>
      </c>
      <c r="C101" s="142">
        <f ca="1">'analyse import'!H102</f>
        <v>0</v>
      </c>
      <c r="D101" s="142">
        <f ca="1">'analyse import'!I102</f>
        <v>0</v>
      </c>
      <c r="E101" s="263">
        <f t="shared" ca="1" si="61"/>
        <v>0</v>
      </c>
      <c r="F101" s="264">
        <f t="shared" ca="1" si="62"/>
        <v>0</v>
      </c>
      <c r="G101" s="73" t="str">
        <f ca="1">IF(C101+D101&gt;0,(E101+F101)/'analyse import'!K102,"")</f>
        <v/>
      </c>
      <c r="H101" s="56" t="str">
        <f t="shared" ca="1" si="48"/>
        <v/>
      </c>
      <c r="I101" s="56" t="str">
        <f t="shared" ca="1" si="49"/>
        <v/>
      </c>
      <c r="J101" s="56" t="str">
        <f t="shared" ca="1" si="50"/>
        <v/>
      </c>
      <c r="K101" s="56" t="str">
        <f t="shared" ca="1" si="51"/>
        <v/>
      </c>
      <c r="L101" s="56" t="str">
        <f t="shared" ca="1" si="52"/>
        <v/>
      </c>
      <c r="M101" s="56" t="s">
        <v>220</v>
      </c>
      <c r="N101" s="56" t="str">
        <f t="shared" ca="1" si="53"/>
        <v/>
      </c>
      <c r="O101" s="56" t="s">
        <v>220</v>
      </c>
      <c r="P101" s="56" t="str">
        <f t="shared" ca="1" si="54"/>
        <v/>
      </c>
      <c r="Q101" s="56" t="str">
        <f t="shared" ca="1" si="55"/>
        <v/>
      </c>
      <c r="R101" s="56" t="s">
        <v>220</v>
      </c>
      <c r="S101" s="56" t="s">
        <v>220</v>
      </c>
      <c r="T101" s="34" t="str">
        <f t="shared" ca="1" si="56"/>
        <v/>
      </c>
      <c r="V101" s="12">
        <v>0.25</v>
      </c>
      <c r="W101" s="12">
        <f t="shared" si="63"/>
        <v>0.25</v>
      </c>
      <c r="X101" s="12">
        <v>0.25</v>
      </c>
      <c r="Y101" s="12">
        <v>15</v>
      </c>
      <c r="AA101" s="12">
        <f t="shared" si="57"/>
        <v>0.25</v>
      </c>
      <c r="AC101" s="12">
        <v>15</v>
      </c>
      <c r="AD101" s="12">
        <f t="shared" si="64"/>
        <v>15</v>
      </c>
      <c r="AF101" s="12"/>
      <c r="AG101" s="12">
        <f t="shared" si="58"/>
        <v>0.25</v>
      </c>
      <c r="AH101" s="90">
        <f t="shared" si="59"/>
        <v>7.625</v>
      </c>
      <c r="AI101" s="99">
        <f>'analyse import'!J102</f>
        <v>0</v>
      </c>
      <c r="AK101" s="12">
        <f t="shared" ca="1" si="60"/>
        <v>0</v>
      </c>
    </row>
    <row r="102" spans="1:37">
      <c r="B102" s="11" t="s">
        <v>60</v>
      </c>
      <c r="C102" s="142">
        <f ca="1">'analyse import'!H103</f>
        <v>0</v>
      </c>
      <c r="D102" s="142">
        <f ca="1">'analyse import'!I103</f>
        <v>0</v>
      </c>
      <c r="E102" s="263">
        <f t="shared" ca="1" si="61"/>
        <v>0</v>
      </c>
      <c r="F102" s="264">
        <f t="shared" ca="1" si="62"/>
        <v>0</v>
      </c>
      <c r="G102" s="73" t="str">
        <f ca="1">IF(C102+D102&gt;0,(E102+F102)/'analyse import'!K103,"")</f>
        <v/>
      </c>
      <c r="H102" s="56" t="str">
        <f t="shared" ca="1" si="48"/>
        <v/>
      </c>
      <c r="I102" s="56" t="str">
        <f t="shared" ca="1" si="49"/>
        <v/>
      </c>
      <c r="J102" s="56" t="str">
        <f t="shared" ca="1" si="50"/>
        <v/>
      </c>
      <c r="K102" s="56" t="str">
        <f t="shared" ca="1" si="51"/>
        <v/>
      </c>
      <c r="L102" s="56" t="str">
        <f t="shared" ca="1" si="52"/>
        <v/>
      </c>
      <c r="M102" s="56" t="s">
        <v>220</v>
      </c>
      <c r="N102" s="56" t="str">
        <f t="shared" ca="1" si="53"/>
        <v/>
      </c>
      <c r="O102" s="56" t="s">
        <v>220</v>
      </c>
      <c r="P102" s="56" t="str">
        <f t="shared" ca="1" si="54"/>
        <v/>
      </c>
      <c r="Q102" s="56" t="str">
        <f t="shared" ca="1" si="55"/>
        <v/>
      </c>
      <c r="R102" s="56" t="s">
        <v>220</v>
      </c>
      <c r="S102" s="56" t="s">
        <v>220</v>
      </c>
      <c r="T102" s="34" t="str">
        <f t="shared" ca="1" si="56"/>
        <v/>
      </c>
      <c r="V102" s="12">
        <v>0.3</v>
      </c>
      <c r="W102" s="12">
        <f t="shared" si="63"/>
        <v>0.3</v>
      </c>
      <c r="X102" s="12">
        <v>0.3</v>
      </c>
      <c r="Y102" s="12">
        <v>10</v>
      </c>
      <c r="AA102" s="12">
        <f t="shared" si="57"/>
        <v>0.3</v>
      </c>
      <c r="AC102" s="12">
        <v>10</v>
      </c>
      <c r="AD102" s="12">
        <f t="shared" si="64"/>
        <v>10</v>
      </c>
      <c r="AF102" s="12"/>
      <c r="AG102" s="12">
        <f t="shared" si="58"/>
        <v>0.3</v>
      </c>
      <c r="AH102" s="90">
        <f t="shared" si="59"/>
        <v>5.15</v>
      </c>
      <c r="AI102" s="99">
        <f>'analyse import'!J103</f>
        <v>0</v>
      </c>
      <c r="AK102" s="12">
        <f t="shared" ca="1" si="60"/>
        <v>0</v>
      </c>
    </row>
    <row r="103" spans="1:37">
      <c r="B103" s="11" t="s">
        <v>61</v>
      </c>
      <c r="C103" s="142">
        <f ca="1">'analyse import'!H104</f>
        <v>0</v>
      </c>
      <c r="D103" s="142">
        <f ca="1">'analyse import'!I104</f>
        <v>0</v>
      </c>
      <c r="E103" s="263">
        <f t="shared" ca="1" si="61"/>
        <v>0</v>
      </c>
      <c r="F103" s="264">
        <f t="shared" ca="1" si="62"/>
        <v>0</v>
      </c>
      <c r="G103" s="73" t="str">
        <f ca="1">IF(C103+D103&gt;0,(E103+F103)/'analyse import'!K104,"")</f>
        <v/>
      </c>
      <c r="H103" s="56" t="str">
        <f t="shared" ca="1" si="48"/>
        <v/>
      </c>
      <c r="I103" s="56" t="str">
        <f t="shared" ca="1" si="49"/>
        <v/>
      </c>
      <c r="J103" s="56" t="str">
        <f t="shared" ca="1" si="50"/>
        <v/>
      </c>
      <c r="K103" s="56" t="str">
        <f t="shared" ca="1" si="51"/>
        <v/>
      </c>
      <c r="L103" s="56" t="str">
        <f t="shared" ca="1" si="52"/>
        <v/>
      </c>
      <c r="M103" s="56" t="s">
        <v>220</v>
      </c>
      <c r="N103" s="56" t="str">
        <f t="shared" ca="1" si="53"/>
        <v/>
      </c>
      <c r="O103" s="56" t="s">
        <v>220</v>
      </c>
      <c r="P103" s="56" t="str">
        <f t="shared" ca="1" si="54"/>
        <v/>
      </c>
      <c r="Q103" s="56" t="str">
        <f t="shared" ca="1" si="55"/>
        <v/>
      </c>
      <c r="R103" s="56" t="s">
        <v>220</v>
      </c>
      <c r="S103" s="56" t="s">
        <v>220</v>
      </c>
      <c r="T103" s="34" t="str">
        <f t="shared" ca="1" si="56"/>
        <v/>
      </c>
      <c r="V103" s="12">
        <v>0.25</v>
      </c>
      <c r="W103" s="12">
        <f t="shared" si="63"/>
        <v>0.25</v>
      </c>
      <c r="X103" s="12">
        <v>2.5</v>
      </c>
      <c r="Y103" s="12">
        <v>2.5</v>
      </c>
      <c r="AA103" s="12">
        <f t="shared" si="57"/>
        <v>0.25</v>
      </c>
      <c r="AC103" s="12">
        <v>60</v>
      </c>
      <c r="AD103" s="12">
        <f t="shared" si="64"/>
        <v>60</v>
      </c>
      <c r="AF103" s="12"/>
      <c r="AG103" s="12">
        <f t="shared" si="58"/>
        <v>0.5</v>
      </c>
      <c r="AH103" s="90">
        <f t="shared" si="59"/>
        <v>1.375</v>
      </c>
      <c r="AI103" s="99">
        <f>'analyse import'!J104</f>
        <v>0</v>
      </c>
      <c r="AK103" s="12">
        <f t="shared" ca="1" si="60"/>
        <v>0</v>
      </c>
    </row>
    <row r="104" spans="1:37">
      <c r="B104" s="11" t="s">
        <v>62</v>
      </c>
      <c r="C104" s="142">
        <f ca="1">'analyse import'!H105</f>
        <v>0</v>
      </c>
      <c r="D104" s="142">
        <f ca="1">'analyse import'!I105</f>
        <v>0</v>
      </c>
      <c r="E104" s="263">
        <f t="shared" ca="1" si="61"/>
        <v>0</v>
      </c>
      <c r="F104" s="264">
        <f t="shared" ca="1" si="62"/>
        <v>0</v>
      </c>
      <c r="G104" s="73" t="str">
        <f ca="1">IF(C104+D104&gt;0,(E104+F104)/'analyse import'!K105,"")</f>
        <v/>
      </c>
      <c r="H104" s="56" t="str">
        <f t="shared" ca="1" si="48"/>
        <v/>
      </c>
      <c r="I104" s="56" t="str">
        <f t="shared" ca="1" si="49"/>
        <v/>
      </c>
      <c r="J104" s="56" t="str">
        <f t="shared" ca="1" si="50"/>
        <v/>
      </c>
      <c r="K104" s="56" t="str">
        <f t="shared" ca="1" si="51"/>
        <v/>
      </c>
      <c r="L104" s="56" t="str">
        <f t="shared" ca="1" si="52"/>
        <v/>
      </c>
      <c r="M104" s="56" t="s">
        <v>220</v>
      </c>
      <c r="N104" s="56" t="str">
        <f t="shared" ca="1" si="53"/>
        <v/>
      </c>
      <c r="O104" s="56" t="s">
        <v>220</v>
      </c>
      <c r="P104" s="56" t="str">
        <f t="shared" ca="1" si="54"/>
        <v/>
      </c>
      <c r="Q104" s="56" t="str">
        <f t="shared" ca="1" si="55"/>
        <v/>
      </c>
      <c r="R104" s="56" t="s">
        <v>220</v>
      </c>
      <c r="S104" s="56" t="s">
        <v>220</v>
      </c>
      <c r="T104" s="34" t="str">
        <f t="shared" ca="1" si="56"/>
        <v/>
      </c>
      <c r="V104" s="12">
        <v>0.3</v>
      </c>
      <c r="W104" s="12">
        <f t="shared" si="63"/>
        <v>0.3</v>
      </c>
      <c r="X104" s="12">
        <v>0.7</v>
      </c>
      <c r="Y104" s="12">
        <v>0.7</v>
      </c>
      <c r="AA104" s="12">
        <f t="shared" si="57"/>
        <v>0.3</v>
      </c>
      <c r="AC104" s="12">
        <v>1</v>
      </c>
      <c r="AD104" s="12">
        <f t="shared" si="64"/>
        <v>1</v>
      </c>
      <c r="AF104" s="12"/>
      <c r="AG104" s="12">
        <f t="shared" si="58"/>
        <v>0.6</v>
      </c>
      <c r="AH104" s="90">
        <f t="shared" si="59"/>
        <v>0.5</v>
      </c>
      <c r="AI104" s="99">
        <f>'analyse import'!J105</f>
        <v>0</v>
      </c>
      <c r="AK104" s="12">
        <f t="shared" ca="1" si="60"/>
        <v>0</v>
      </c>
    </row>
    <row r="105" spans="1:37">
      <c r="B105" s="11" t="s">
        <v>63</v>
      </c>
      <c r="C105" s="142">
        <f ca="1">'analyse import'!H106</f>
        <v>0</v>
      </c>
      <c r="D105" s="142">
        <f ca="1">'analyse import'!I106</f>
        <v>0</v>
      </c>
      <c r="E105" s="263">
        <f t="shared" ca="1" si="61"/>
        <v>0</v>
      </c>
      <c r="F105" s="264">
        <f t="shared" ca="1" si="62"/>
        <v>0</v>
      </c>
      <c r="G105" s="73" t="str">
        <f ca="1">IF(C105+D105&gt;0,(E105+F105)/'analyse import'!K106,"")</f>
        <v/>
      </c>
      <c r="H105" s="56" t="str">
        <f t="shared" ca="1" si="48"/>
        <v/>
      </c>
      <c r="I105" s="56" t="str">
        <f t="shared" ca="1" si="49"/>
        <v/>
      </c>
      <c r="J105" s="56" t="str">
        <f t="shared" ca="1" si="50"/>
        <v/>
      </c>
      <c r="K105" s="56" t="str">
        <f t="shared" ca="1" si="51"/>
        <v/>
      </c>
      <c r="L105" s="56" t="str">
        <f t="shared" ca="1" si="52"/>
        <v/>
      </c>
      <c r="M105" s="56" t="s">
        <v>220</v>
      </c>
      <c r="N105" s="56" t="str">
        <f t="shared" ca="1" si="53"/>
        <v/>
      </c>
      <c r="O105" s="56" t="s">
        <v>220</v>
      </c>
      <c r="P105" s="56" t="str">
        <f t="shared" ca="1" si="54"/>
        <v/>
      </c>
      <c r="Q105" s="56" t="str">
        <f t="shared" ca="1" si="55"/>
        <v/>
      </c>
      <c r="R105" s="56" t="s">
        <v>220</v>
      </c>
      <c r="S105" s="56" t="s">
        <v>220</v>
      </c>
      <c r="T105" s="34" t="str">
        <f t="shared" ca="1" si="56"/>
        <v/>
      </c>
      <c r="V105" s="12">
        <v>0.15</v>
      </c>
      <c r="W105" s="12">
        <f t="shared" si="63"/>
        <v>0.15</v>
      </c>
      <c r="X105" s="12">
        <v>4</v>
      </c>
      <c r="Y105" s="12">
        <v>8.8000000000000007</v>
      </c>
      <c r="AA105" s="12">
        <f t="shared" si="57"/>
        <v>0.15</v>
      </c>
      <c r="AC105" s="12">
        <v>4</v>
      </c>
      <c r="AD105" s="12">
        <f t="shared" si="64"/>
        <v>4</v>
      </c>
      <c r="AF105" s="12"/>
      <c r="AG105" s="12">
        <f t="shared" si="58"/>
        <v>0.3</v>
      </c>
      <c r="AH105" s="90">
        <f t="shared" si="59"/>
        <v>4.4750000000000005</v>
      </c>
      <c r="AI105" s="99">
        <f>'analyse import'!J106</f>
        <v>0</v>
      </c>
      <c r="AK105" s="12">
        <f t="shared" ca="1" si="60"/>
        <v>0</v>
      </c>
    </row>
    <row r="106" spans="1:37">
      <c r="C106" s="12"/>
      <c r="D106" s="12"/>
      <c r="E106" s="276"/>
      <c r="F106" s="277"/>
      <c r="G106" s="71"/>
      <c r="AF106" s="12"/>
      <c r="AI106" s="99">
        <v>0</v>
      </c>
      <c r="AK106" s="12"/>
    </row>
    <row r="107" spans="1:37">
      <c r="A107" s="10" t="s">
        <v>67</v>
      </c>
      <c r="B107" s="35" t="s">
        <v>78</v>
      </c>
      <c r="C107" s="33" t="s">
        <v>5</v>
      </c>
      <c r="D107" s="33" t="s">
        <v>5</v>
      </c>
      <c r="E107" s="273" t="s">
        <v>5</v>
      </c>
      <c r="F107" s="274" t="s">
        <v>5</v>
      </c>
      <c r="G107" s="72" t="s">
        <v>5</v>
      </c>
      <c r="H107" s="33" t="s">
        <v>229</v>
      </c>
      <c r="I107" s="33" t="s">
        <v>228</v>
      </c>
      <c r="J107" s="33" t="s">
        <v>227</v>
      </c>
      <c r="K107" s="33" t="s">
        <v>232</v>
      </c>
      <c r="L107" s="33" t="s">
        <v>267</v>
      </c>
      <c r="M107" s="33" t="s">
        <v>234</v>
      </c>
      <c r="N107" s="33" t="s">
        <v>230</v>
      </c>
      <c r="O107" s="33" t="s">
        <v>170</v>
      </c>
      <c r="P107" s="33" t="s">
        <v>171</v>
      </c>
      <c r="Q107" s="33" t="s">
        <v>231</v>
      </c>
      <c r="R107" s="33" t="s">
        <v>233</v>
      </c>
      <c r="S107" s="33" t="s">
        <v>185</v>
      </c>
      <c r="T107" s="116" t="s">
        <v>272</v>
      </c>
      <c r="AF107" s="12"/>
      <c r="AI107" s="99">
        <f>IF(SUM(AI108:AI114)&gt;0,1,0)</f>
        <v>0</v>
      </c>
      <c r="AK107" s="12"/>
    </row>
    <row r="108" spans="1:37">
      <c r="B108" s="39" t="s">
        <v>209</v>
      </c>
      <c r="C108" s="102">
        <f>'analyse import'!H109</f>
        <v>0</v>
      </c>
      <c r="D108" s="102">
        <f>'analyse import'!I109</f>
        <v>0</v>
      </c>
      <c r="E108" s="285" t="str">
        <f>IF(C108+D108&gt;0,'analyse import'!H109*10/omrekenen!J$3,"")</f>
        <v/>
      </c>
      <c r="F108" s="286" t="str">
        <f>IF(D108+C108&gt;0,'analyse import'!I109*10/omrekenen!K$3,"")</f>
        <v/>
      </c>
      <c r="G108" s="287" t="str">
        <f>IF(C108+D108&gt;0,(E108+F108)/'analyse import'!K109,"")</f>
        <v/>
      </c>
      <c r="H108" s="56" t="str">
        <f t="shared" ref="H108:H113" si="65">IF($C108+$D108&gt;0,IF($G108&gt;2*V108,"2x",IF($G108&gt;V108,"X","-")),"")</f>
        <v/>
      </c>
      <c r="I108" s="56" t="str">
        <f t="shared" ref="I108:I113" si="66">IF($C108+D108&gt;0,IF($G108&gt;AG108,"@",IF(G108&gt;W108,"X","-")),"")</f>
        <v/>
      </c>
      <c r="J108" s="56" t="str">
        <f t="shared" ref="J108:J113" si="67">IF($C108+D108&gt;0,IF($G108&gt;X108,"X","-"),"")</f>
        <v/>
      </c>
      <c r="K108" s="56" t="str">
        <f t="shared" ref="K108:K113" si="68">IF($C108+D108&gt;0,IF($G108&gt;Y108,"X","-"),"")</f>
        <v/>
      </c>
      <c r="L108" s="56" t="str">
        <f t="shared" ref="L108:L113" si="69">IF($C108+D108&gt;0,IF($G108&gt;AH108,"X","-"),"")</f>
        <v/>
      </c>
      <c r="M108" s="12" t="s">
        <v>220</v>
      </c>
      <c r="N108" s="56" t="str">
        <f t="shared" ref="N108:N114" si="70">IF($C108+D108&gt;0,IF($G108&gt;AA108,"X","-"),"")</f>
        <v/>
      </c>
      <c r="O108" s="12" t="s">
        <v>220</v>
      </c>
      <c r="P108" s="12" t="s">
        <v>220</v>
      </c>
      <c r="Q108" s="12" t="s">
        <v>220</v>
      </c>
      <c r="R108" s="12" t="s">
        <v>220</v>
      </c>
      <c r="S108" s="12" t="s">
        <v>220</v>
      </c>
      <c r="T108" s="34" t="str">
        <f t="shared" ref="T108:T114" si="71">IF(C108*D108&gt;0,MAX(C108:D108)/MIN(C108:D108),"")</f>
        <v/>
      </c>
      <c r="V108" s="12">
        <v>0.2</v>
      </c>
      <c r="W108" s="12">
        <f>V108</f>
        <v>0.2</v>
      </c>
      <c r="X108" s="12">
        <v>5</v>
      </c>
      <c r="Y108" s="12">
        <v>15</v>
      </c>
      <c r="AA108" s="12">
        <f t="shared" ref="AA108:AA113" si="72">V108</f>
        <v>0.2</v>
      </c>
      <c r="AF108" s="12"/>
      <c r="AG108" s="12">
        <f t="shared" ref="AG108:AG113" si="73">IF(V108+W108&gt;X108,X108,V108+W108)</f>
        <v>0.4</v>
      </c>
      <c r="AH108" s="90">
        <f t="shared" ref="AH108:AH113" si="74">(V108+Y108)/2</f>
        <v>7.6</v>
      </c>
      <c r="AI108" s="99">
        <f>'analyse import'!J109</f>
        <v>0</v>
      </c>
      <c r="AK108" s="12">
        <f t="shared" si="60"/>
        <v>0</v>
      </c>
    </row>
    <row r="109" spans="1:37">
      <c r="B109" s="39" t="s">
        <v>210</v>
      </c>
      <c r="C109" s="102">
        <f>'analyse import'!H110</f>
        <v>0</v>
      </c>
      <c r="D109" s="102">
        <f>'analyse import'!I110</f>
        <v>0</v>
      </c>
      <c r="E109" s="285" t="str">
        <f>IF(C109+D109&gt;0,'analyse import'!H110*10/omrekenen!J$3,"")</f>
        <v/>
      </c>
      <c r="F109" s="286" t="str">
        <f>IF(D109+C109&gt;0,'analyse import'!I110*10/omrekenen!K$3,"")</f>
        <v/>
      </c>
      <c r="G109" s="287" t="str">
        <f>IF(C109+D109&gt;0,(E109+F109)/'analyse import'!K110,"")</f>
        <v/>
      </c>
      <c r="H109" s="56" t="str">
        <f t="shared" si="65"/>
        <v/>
      </c>
      <c r="I109" s="56" t="str">
        <f t="shared" si="66"/>
        <v/>
      </c>
      <c r="J109" s="56" t="str">
        <f t="shared" si="67"/>
        <v/>
      </c>
      <c r="K109" s="56" t="str">
        <f t="shared" si="68"/>
        <v/>
      </c>
      <c r="L109" s="56" t="str">
        <f t="shared" si="69"/>
        <v/>
      </c>
      <c r="M109" s="12" t="s">
        <v>220</v>
      </c>
      <c r="N109" s="56" t="str">
        <f t="shared" si="70"/>
        <v/>
      </c>
      <c r="O109" s="12" t="s">
        <v>220</v>
      </c>
      <c r="P109" s="12" t="s">
        <v>220</v>
      </c>
      <c r="Q109" s="12" t="s">
        <v>220</v>
      </c>
      <c r="R109" s="12" t="s">
        <v>220</v>
      </c>
      <c r="S109" s="12" t="s">
        <v>220</v>
      </c>
      <c r="T109" s="34" t="str">
        <f t="shared" si="71"/>
        <v/>
      </c>
      <c r="V109" s="12">
        <v>2</v>
      </c>
      <c r="W109" s="12">
        <f>V109</f>
        <v>2</v>
      </c>
      <c r="X109" s="12">
        <v>5</v>
      </c>
      <c r="Y109" s="12">
        <v>19</v>
      </c>
      <c r="AA109" s="12">
        <f t="shared" si="72"/>
        <v>2</v>
      </c>
      <c r="AF109" s="12"/>
      <c r="AG109" s="12">
        <f t="shared" si="73"/>
        <v>4</v>
      </c>
      <c r="AH109" s="90">
        <f t="shared" si="74"/>
        <v>10.5</v>
      </c>
      <c r="AI109" s="99">
        <f>'analyse import'!J110</f>
        <v>0</v>
      </c>
      <c r="AK109" s="12">
        <f t="shared" si="60"/>
        <v>0</v>
      </c>
    </row>
    <row r="110" spans="1:37">
      <c r="B110" s="11" t="s">
        <v>68</v>
      </c>
      <c r="C110" s="102">
        <f>'analyse import'!H111</f>
        <v>0</v>
      </c>
      <c r="D110" s="102">
        <f>'analyse import'!I111</f>
        <v>0</v>
      </c>
      <c r="E110" s="285" t="str">
        <f>IF(C110+D110&gt;0,'analyse import'!H111*10/omrekenen!J$3,"")</f>
        <v/>
      </c>
      <c r="F110" s="286" t="str">
        <f>IF(D110+C110&gt;0,'analyse import'!I111*10/omrekenen!K$3,"")</f>
        <v/>
      </c>
      <c r="G110" s="287" t="str">
        <f>IF(C110+D110&gt;0,(E110+F110)/'analyse import'!K111,"")</f>
        <v/>
      </c>
      <c r="H110" s="56" t="str">
        <f t="shared" si="65"/>
        <v/>
      </c>
      <c r="I110" s="56" t="str">
        <f t="shared" si="66"/>
        <v/>
      </c>
      <c r="J110" s="56" t="str">
        <f t="shared" si="67"/>
        <v/>
      </c>
      <c r="K110" s="56" t="str">
        <f t="shared" si="68"/>
        <v/>
      </c>
      <c r="L110" s="56" t="str">
        <f t="shared" si="69"/>
        <v/>
      </c>
      <c r="M110" s="56" t="s">
        <v>220</v>
      </c>
      <c r="N110" s="56" t="str">
        <f t="shared" si="70"/>
        <v/>
      </c>
      <c r="O110" s="56" t="s">
        <v>220</v>
      </c>
      <c r="P110" s="56" t="s">
        <v>220</v>
      </c>
      <c r="Q110" s="56" t="s">
        <v>220</v>
      </c>
      <c r="R110" s="56" t="s">
        <v>220</v>
      </c>
      <c r="S110" s="56" t="s">
        <v>220</v>
      </c>
      <c r="T110" s="34" t="str">
        <f t="shared" si="71"/>
        <v/>
      </c>
      <c r="V110" s="12">
        <v>1.4999999999999999E-2</v>
      </c>
      <c r="W110" s="12">
        <f>V110</f>
        <v>1.4999999999999999E-2</v>
      </c>
      <c r="X110" s="12">
        <v>5</v>
      </c>
      <c r="Y110" s="12">
        <v>11</v>
      </c>
      <c r="AA110" s="12">
        <f t="shared" si="72"/>
        <v>1.4999999999999999E-2</v>
      </c>
      <c r="AF110" s="12"/>
      <c r="AG110" s="12">
        <f t="shared" si="73"/>
        <v>0.03</v>
      </c>
      <c r="AH110" s="90">
        <f t="shared" si="74"/>
        <v>5.5075000000000003</v>
      </c>
      <c r="AI110" s="99">
        <f>'analyse import'!J111</f>
        <v>0</v>
      </c>
      <c r="AK110" s="12">
        <f t="shared" si="60"/>
        <v>0</v>
      </c>
    </row>
    <row r="111" spans="1:37">
      <c r="B111" s="11" t="s">
        <v>178</v>
      </c>
      <c r="C111" s="102">
        <f>'analyse import'!H112</f>
        <v>0</v>
      </c>
      <c r="D111" s="102">
        <f>'analyse import'!I112</f>
        <v>0</v>
      </c>
      <c r="E111" s="285" t="str">
        <f>IF(C111+D111&gt;0,'analyse import'!H112*10/omrekenen!J$3,"")</f>
        <v/>
      </c>
      <c r="F111" s="286" t="str">
        <f>IF(D111+C111&gt;0,'analyse import'!I112*10/omrekenen!K$3,"")</f>
        <v/>
      </c>
      <c r="G111" s="287" t="str">
        <f>IF(C111+D111&gt;0,(E111+F111)/'analyse import'!K112,"")</f>
        <v/>
      </c>
      <c r="H111" s="56" t="str">
        <f t="shared" si="65"/>
        <v/>
      </c>
      <c r="I111" s="56" t="str">
        <f t="shared" si="66"/>
        <v/>
      </c>
      <c r="J111" s="56" t="str">
        <f t="shared" si="67"/>
        <v/>
      </c>
      <c r="K111" s="56" t="str">
        <f t="shared" si="68"/>
        <v/>
      </c>
      <c r="L111" s="56" t="str">
        <f t="shared" si="69"/>
        <v/>
      </c>
      <c r="M111" s="56" t="s">
        <v>220</v>
      </c>
      <c r="N111" s="56" t="str">
        <f t="shared" si="70"/>
        <v/>
      </c>
      <c r="O111" s="56" t="s">
        <v>220</v>
      </c>
      <c r="P111" s="56" t="s">
        <v>220</v>
      </c>
      <c r="Q111" s="56" t="s">
        <v>220</v>
      </c>
      <c r="R111" s="56" t="s">
        <v>220</v>
      </c>
      <c r="S111" s="56" t="s">
        <v>220</v>
      </c>
      <c r="T111" s="34" t="str">
        <f t="shared" si="71"/>
        <v/>
      </c>
      <c r="V111" s="12">
        <v>8.9999999999999993E-3</v>
      </c>
      <c r="W111" s="12">
        <f>V111</f>
        <v>8.9999999999999993E-3</v>
      </c>
      <c r="X111" s="12">
        <v>2.2000000000000002</v>
      </c>
      <c r="Y111" s="12">
        <v>2.2000000000000002</v>
      </c>
      <c r="AA111" s="12">
        <f t="shared" si="72"/>
        <v>8.9999999999999993E-3</v>
      </c>
      <c r="AF111" s="12"/>
      <c r="AG111" s="12">
        <f t="shared" si="73"/>
        <v>1.7999999999999999E-2</v>
      </c>
      <c r="AH111" s="90">
        <f t="shared" si="74"/>
        <v>1.1045</v>
      </c>
      <c r="AI111" s="99">
        <f>'analyse import'!J112</f>
        <v>0</v>
      </c>
      <c r="AK111" s="12">
        <f t="shared" si="60"/>
        <v>0</v>
      </c>
    </row>
    <row r="112" spans="1:37">
      <c r="B112" s="11" t="s">
        <v>69</v>
      </c>
      <c r="C112" s="102">
        <f>'analyse import'!H113</f>
        <v>0</v>
      </c>
      <c r="D112" s="102">
        <f>'analyse import'!I113</f>
        <v>0</v>
      </c>
      <c r="E112" s="285" t="str">
        <f>IF(C112+D112&gt;0,'analyse import'!H113*10/omrekenen!J$3,"")</f>
        <v/>
      </c>
      <c r="F112" s="286" t="str">
        <f>IF(D112+C112&gt;0,'analyse import'!I113*10/omrekenen!K$3,"")</f>
        <v/>
      </c>
      <c r="G112" s="287" t="str">
        <f>IF(C112+D112&gt;0,(E112+F112)/'analyse import'!K113,"")</f>
        <v/>
      </c>
      <c r="H112" s="56" t="str">
        <f t="shared" si="65"/>
        <v/>
      </c>
      <c r="I112" s="56" t="str">
        <f t="shared" si="66"/>
        <v/>
      </c>
      <c r="J112" s="56" t="str">
        <f t="shared" si="67"/>
        <v/>
      </c>
      <c r="K112" s="56" t="str">
        <f t="shared" si="68"/>
        <v/>
      </c>
      <c r="L112" s="56" t="str">
        <f t="shared" si="69"/>
        <v/>
      </c>
      <c r="M112" s="56" t="s">
        <v>220</v>
      </c>
      <c r="N112" s="56" t="str">
        <f t="shared" si="70"/>
        <v/>
      </c>
      <c r="O112" s="56" t="str">
        <f t="shared" ref="O112:O113" si="75">IF($C112+D112&gt;0,IF($G112&gt;AB112,"X","-"),"")</f>
        <v/>
      </c>
      <c r="P112" s="56" t="s">
        <v>220</v>
      </c>
      <c r="Q112" s="56" t="s">
        <v>220</v>
      </c>
      <c r="R112" s="56" t="s">
        <v>220</v>
      </c>
      <c r="S112" s="56" t="s">
        <v>220</v>
      </c>
      <c r="T112" s="34" t="str">
        <f t="shared" si="71"/>
        <v/>
      </c>
      <c r="V112" s="12">
        <v>2.5000000000000001E-3</v>
      </c>
      <c r="W112" s="12">
        <f>V112</f>
        <v>2.5000000000000001E-3</v>
      </c>
      <c r="X112" s="12">
        <v>5</v>
      </c>
      <c r="Y112" s="12">
        <v>6.7</v>
      </c>
      <c r="AA112" s="12">
        <f t="shared" si="72"/>
        <v>2.5000000000000001E-3</v>
      </c>
      <c r="AB112" s="12">
        <v>7.0000000000000001E-3</v>
      </c>
      <c r="AF112" s="12"/>
      <c r="AG112" s="12">
        <f t="shared" si="73"/>
        <v>5.0000000000000001E-3</v>
      </c>
      <c r="AH112" s="90">
        <f t="shared" si="74"/>
        <v>3.3512500000000003</v>
      </c>
      <c r="AI112" s="99">
        <f>'analyse import'!J113</f>
        <v>0</v>
      </c>
      <c r="AK112" s="12">
        <f t="shared" si="60"/>
        <v>0</v>
      </c>
    </row>
    <row r="113" spans="1:37">
      <c r="B113" s="11" t="s">
        <v>186</v>
      </c>
      <c r="C113" s="102">
        <f>'analyse import'!H114</f>
        <v>0</v>
      </c>
      <c r="D113" s="102">
        <f>'analyse import'!I114</f>
        <v>0</v>
      </c>
      <c r="E113" s="285" t="str">
        <f>IF(C113+D113&gt;0,'analyse import'!H114*10/omrekenen!J$3,"")</f>
        <v/>
      </c>
      <c r="F113" s="286" t="str">
        <f>IF(D113+C113&gt;0,'analyse import'!I114*10/omrekenen!K$3,"")</f>
        <v/>
      </c>
      <c r="G113" s="287" t="str">
        <f>IF(C113+D113&gt;0,(E113+F113)/'analyse import'!K114,"")</f>
        <v/>
      </c>
      <c r="H113" s="56" t="str">
        <f t="shared" si="65"/>
        <v/>
      </c>
      <c r="I113" s="56" t="str">
        <f t="shared" si="66"/>
        <v/>
      </c>
      <c r="J113" s="56" t="str">
        <f t="shared" si="67"/>
        <v/>
      </c>
      <c r="K113" s="56" t="str">
        <f t="shared" si="68"/>
        <v/>
      </c>
      <c r="L113" s="56" t="str">
        <f t="shared" si="69"/>
        <v/>
      </c>
      <c r="M113" s="56" t="s">
        <v>220</v>
      </c>
      <c r="N113" s="56" t="str">
        <f t="shared" si="70"/>
        <v/>
      </c>
      <c r="O113" s="56" t="str">
        <f t="shared" si="75"/>
        <v/>
      </c>
      <c r="P113" s="56" t="s">
        <v>220</v>
      </c>
      <c r="Q113" s="56" t="s">
        <v>220</v>
      </c>
      <c r="R113" s="56" t="s">
        <v>220</v>
      </c>
      <c r="S113" s="56" t="str">
        <f>IF($C113+D113&gt;0,IF($G113&gt;AF113,"X","-"),"")</f>
        <v/>
      </c>
      <c r="T113" s="34" t="str">
        <f t="shared" si="71"/>
        <v/>
      </c>
      <c r="V113" s="12">
        <v>8.5000000000000006E-3</v>
      </c>
      <c r="W113" s="12">
        <v>2.7E-2</v>
      </c>
      <c r="X113" s="12">
        <v>1.4</v>
      </c>
      <c r="Y113" s="12">
        <v>2</v>
      </c>
      <c r="AA113" s="12">
        <f t="shared" si="72"/>
        <v>8.5000000000000006E-3</v>
      </c>
      <c r="AB113" s="12">
        <v>4.3999999999999997E-2</v>
      </c>
      <c r="AF113" s="12">
        <v>0.02</v>
      </c>
      <c r="AG113" s="12">
        <f t="shared" si="73"/>
        <v>3.5500000000000004E-2</v>
      </c>
      <c r="AH113" s="90">
        <f t="shared" si="74"/>
        <v>1.0042500000000001</v>
      </c>
      <c r="AI113" s="99">
        <f>'analyse import'!J114</f>
        <v>0</v>
      </c>
      <c r="AK113" s="12">
        <f t="shared" si="60"/>
        <v>0</v>
      </c>
    </row>
    <row r="114" spans="1:37">
      <c r="B114" s="11" t="s">
        <v>70</v>
      </c>
      <c r="C114" s="102">
        <f>'analyse import'!H115</f>
        <v>0</v>
      </c>
      <c r="D114" s="102">
        <f>'analyse import'!I115</f>
        <v>0</v>
      </c>
      <c r="E114" s="285" t="str">
        <f>IF(C114+D114&gt;0,'analyse import'!H115*10/omrekenen!J$3,"")</f>
        <v/>
      </c>
      <c r="F114" s="286" t="str">
        <f>IF(D114+C114&gt;0,'analyse import'!I115*10/omrekenen!K$3,"")</f>
        <v/>
      </c>
      <c r="G114" s="287" t="str">
        <f>IF(C114+D114&gt;0,(E114+F114)/'analyse import'!K115,"")</f>
        <v/>
      </c>
      <c r="H114" s="56" t="s">
        <v>220</v>
      </c>
      <c r="I114" s="56" t="s">
        <v>220</v>
      </c>
      <c r="J114" s="56" t="s">
        <v>220</v>
      </c>
      <c r="K114" s="56" t="s">
        <v>220</v>
      </c>
      <c r="L114" s="56" t="s">
        <v>220</v>
      </c>
      <c r="M114" s="56" t="s">
        <v>220</v>
      </c>
      <c r="N114" s="56" t="str">
        <f t="shared" si="70"/>
        <v/>
      </c>
      <c r="O114" s="56" t="s">
        <v>220</v>
      </c>
      <c r="P114" s="56" t="str">
        <f>IF($C114+D114&gt;0,IF($G114&gt;AC114,"X","-"),"")</f>
        <v/>
      </c>
      <c r="Q114" s="56" t="str">
        <f>IF($C114+D114&gt;0,IF($G114&gt;AD114,"X","-"),"")</f>
        <v/>
      </c>
      <c r="R114" s="56" t="s">
        <v>220</v>
      </c>
      <c r="S114" s="56" t="s">
        <v>220</v>
      </c>
      <c r="T114" s="34" t="str">
        <f t="shared" si="71"/>
        <v/>
      </c>
      <c r="V114" s="11"/>
      <c r="W114" s="11"/>
      <c r="X114" s="11"/>
      <c r="AA114" s="12">
        <v>2</v>
      </c>
      <c r="AC114" s="12">
        <v>30</v>
      </c>
      <c r="AD114" s="12">
        <f>AC114</f>
        <v>30</v>
      </c>
      <c r="AF114" s="12"/>
      <c r="AG114" s="102"/>
      <c r="AI114" s="99">
        <f>'analyse import'!J115</f>
        <v>0</v>
      </c>
      <c r="AK114" s="12">
        <f t="shared" si="60"/>
        <v>0</v>
      </c>
    </row>
    <row r="115" spans="1:37">
      <c r="C115" s="12"/>
      <c r="D115" s="12"/>
      <c r="E115" s="276"/>
      <c r="F115" s="277"/>
      <c r="G115" s="71"/>
      <c r="AF115" s="12"/>
      <c r="AI115" s="99">
        <v>0</v>
      </c>
      <c r="AK115" s="12"/>
    </row>
    <row r="116" spans="1:37">
      <c r="A116" s="10" t="s">
        <v>72</v>
      </c>
      <c r="B116" s="35" t="s">
        <v>71</v>
      </c>
      <c r="C116" s="33" t="s">
        <v>5</v>
      </c>
      <c r="D116" s="33" t="s">
        <v>5</v>
      </c>
      <c r="E116" s="273" t="s">
        <v>5</v>
      </c>
      <c r="F116" s="274" t="s">
        <v>5</v>
      </c>
      <c r="G116" s="72" t="s">
        <v>5</v>
      </c>
      <c r="H116" s="33" t="s">
        <v>229</v>
      </c>
      <c r="I116" s="33" t="s">
        <v>228</v>
      </c>
      <c r="J116" s="33" t="s">
        <v>227</v>
      </c>
      <c r="K116" s="33" t="s">
        <v>232</v>
      </c>
      <c r="L116" s="33" t="s">
        <v>267</v>
      </c>
      <c r="M116" s="33" t="s">
        <v>234</v>
      </c>
      <c r="N116" s="33" t="s">
        <v>230</v>
      </c>
      <c r="O116" s="33" t="s">
        <v>170</v>
      </c>
      <c r="P116" s="33" t="s">
        <v>171</v>
      </c>
      <c r="Q116" s="33" t="s">
        <v>231</v>
      </c>
      <c r="R116" s="33" t="s">
        <v>233</v>
      </c>
      <c r="S116" s="33" t="s">
        <v>185</v>
      </c>
      <c r="T116" s="116" t="s">
        <v>272</v>
      </c>
      <c r="AF116" s="12"/>
      <c r="AI116" s="99">
        <f>IF(SUM(AI117:AI122)&gt;0,1,0)</f>
        <v>0</v>
      </c>
      <c r="AK116" s="12"/>
    </row>
    <row r="117" spans="1:37">
      <c r="B117" s="11" t="s">
        <v>211</v>
      </c>
      <c r="C117" s="102">
        <f>'analyse import'!H118</f>
        <v>0</v>
      </c>
      <c r="D117" s="102">
        <f>'analyse import'!I118</f>
        <v>0</v>
      </c>
      <c r="E117" s="285" t="str">
        <f>IF(C117+D117&gt;0,'analyse import'!H118*10/omrekenen!J$3,"")</f>
        <v/>
      </c>
      <c r="F117" s="286" t="str">
        <f>IF(D117+C117&gt;0,'analyse import'!I118*10/omrekenen!K$3,"")</f>
        <v/>
      </c>
      <c r="G117" s="287" t="str">
        <f>IF(C117+D117&gt;0,(E117+F117)/'analyse import'!K118,"")</f>
        <v/>
      </c>
      <c r="H117" s="56" t="str">
        <f t="shared" ref="H117:H121" si="76">IF($C117+$D117&gt;0,IF($G117&gt;2*V117,"2x",IF($G117&gt;V117,"X","-")),"")</f>
        <v/>
      </c>
      <c r="I117" s="56" t="str">
        <f t="shared" ref="I117:I121" si="77">IF($C117+D117&gt;0,IF($G117&gt;AG117,"@",IF(G117&gt;W117,"X","-")),"")</f>
        <v/>
      </c>
      <c r="J117" s="56" t="str">
        <f t="shared" ref="J117:J121" si="78">IF($C117+D117&gt;0,IF($G117&gt;X117,"X","-"),"")</f>
        <v/>
      </c>
      <c r="K117" s="56" t="str">
        <f t="shared" ref="K117:K121" si="79">IF($C117+D117&gt;0,IF($G117&gt;Y117,"X","-"),"")</f>
        <v/>
      </c>
      <c r="L117" s="56" t="str">
        <f t="shared" ref="L117:L121" si="80">IF($C117+D117&gt;0,IF($G117&gt;AH117,"X","-"),"")</f>
        <v/>
      </c>
      <c r="M117" s="56" t="s">
        <v>220</v>
      </c>
      <c r="N117" s="56" t="str">
        <f t="shared" ref="N117:N122" si="81">IF($C117+D117&gt;0,IF($G117&gt;AA117,"X","-"),"")</f>
        <v/>
      </c>
      <c r="O117" s="56" t="s">
        <v>220</v>
      </c>
      <c r="P117" s="56" t="s">
        <v>220</v>
      </c>
      <c r="Q117" s="56" t="s">
        <v>220</v>
      </c>
      <c r="R117" s="56" t="s">
        <v>220</v>
      </c>
      <c r="S117" s="56" t="s">
        <v>220</v>
      </c>
      <c r="T117" s="34" t="str">
        <f t="shared" ref="T117:T122" si="82">IF(C117*D117&gt;0,MAX(C117:D117)/MIN(C117:D117),"")</f>
        <v/>
      </c>
      <c r="V117" s="12">
        <v>4.4999999999999998E-2</v>
      </c>
      <c r="W117" s="12">
        <f>V117</f>
        <v>4.4999999999999998E-2</v>
      </c>
      <c r="X117" s="12">
        <v>5.4</v>
      </c>
      <c r="Y117" s="12">
        <v>5.4</v>
      </c>
      <c r="AA117" s="12">
        <f>V117</f>
        <v>4.4999999999999998E-2</v>
      </c>
      <c r="AF117" s="12"/>
      <c r="AG117" s="12">
        <f>IF(V117+W117&gt;X117,X117,V117+W117)</f>
        <v>0.09</v>
      </c>
      <c r="AH117" s="90">
        <f>(V117+Y117)/2</f>
        <v>2.7225000000000001</v>
      </c>
      <c r="AI117" s="99">
        <f>'analyse import'!J118</f>
        <v>0</v>
      </c>
      <c r="AK117" s="12">
        <f t="shared" si="60"/>
        <v>0</v>
      </c>
    </row>
    <row r="118" spans="1:37">
      <c r="B118" s="11" t="s">
        <v>212</v>
      </c>
      <c r="C118" s="102">
        <f>'analyse import'!H119</f>
        <v>0</v>
      </c>
      <c r="D118" s="102">
        <f>'analyse import'!I119</f>
        <v>0</v>
      </c>
      <c r="E118" s="285" t="str">
        <f>IF(C118+D118&gt;0,'analyse import'!H119*10/omrekenen!J$3,"")</f>
        <v/>
      </c>
      <c r="F118" s="286" t="str">
        <f>IF(D118+C118&gt;0,'analyse import'!I119*10/omrekenen!K$3,"")</f>
        <v/>
      </c>
      <c r="G118" s="287" t="str">
        <f>IF(C118+D118&gt;0,(E118+F118)/'analyse import'!K119,"")</f>
        <v/>
      </c>
      <c r="H118" s="56" t="str">
        <f t="shared" si="76"/>
        <v/>
      </c>
      <c r="I118" s="56" t="str">
        <f t="shared" si="77"/>
        <v/>
      </c>
      <c r="J118" s="56" t="str">
        <f t="shared" si="78"/>
        <v/>
      </c>
      <c r="K118" s="56" t="str">
        <f t="shared" si="79"/>
        <v/>
      </c>
      <c r="L118" s="56" t="str">
        <f t="shared" si="80"/>
        <v/>
      </c>
      <c r="M118" s="56" t="s">
        <v>220</v>
      </c>
      <c r="N118" s="56" t="str">
        <f t="shared" si="81"/>
        <v/>
      </c>
      <c r="O118" s="56" t="s">
        <v>220</v>
      </c>
      <c r="P118" s="56" t="s">
        <v>220</v>
      </c>
      <c r="Q118" s="56" t="s">
        <v>220</v>
      </c>
      <c r="R118" s="56" t="s">
        <v>220</v>
      </c>
      <c r="S118" s="56" t="s">
        <v>220</v>
      </c>
      <c r="T118" s="34" t="str">
        <f t="shared" si="82"/>
        <v/>
      </c>
      <c r="V118" s="12">
        <v>0.2</v>
      </c>
      <c r="W118" s="12">
        <f>V118</f>
        <v>0.2</v>
      </c>
      <c r="X118" s="12">
        <v>6</v>
      </c>
      <c r="Y118" s="12">
        <v>22</v>
      </c>
      <c r="AA118" s="12">
        <f>V118</f>
        <v>0.2</v>
      </c>
      <c r="AF118" s="12"/>
      <c r="AG118" s="12">
        <f>IF(V118+W118&gt;X118,X118,V118+W118)</f>
        <v>0.4</v>
      </c>
      <c r="AH118" s="90">
        <f>(V118+Y118)/2</f>
        <v>11.1</v>
      </c>
      <c r="AI118" s="99">
        <f>'analyse import'!J119</f>
        <v>0</v>
      </c>
      <c r="AK118" s="12">
        <f t="shared" si="60"/>
        <v>0</v>
      </c>
    </row>
    <row r="119" spans="1:37">
      <c r="B119" s="11" t="s">
        <v>73</v>
      </c>
      <c r="C119" s="102">
        <f>'analyse import'!H120</f>
        <v>0</v>
      </c>
      <c r="D119" s="102">
        <f>'analyse import'!I120</f>
        <v>0</v>
      </c>
      <c r="E119" s="285" t="str">
        <f>IF(C119+D119&gt;0,'analyse import'!H120*10/omrekenen!J$3,"")</f>
        <v/>
      </c>
      <c r="F119" s="286" t="str">
        <f>IF(D119+C119&gt;0,'analyse import'!I120*10/omrekenen!K$3,"")</f>
        <v/>
      </c>
      <c r="G119" s="287" t="str">
        <f>IF(C119+D119&gt;0,(E119+F119)/'analyse import'!K120,"")</f>
        <v/>
      </c>
      <c r="H119" s="56" t="str">
        <f t="shared" si="76"/>
        <v/>
      </c>
      <c r="I119" s="56" t="str">
        <f t="shared" si="77"/>
        <v/>
      </c>
      <c r="J119" s="56" t="str">
        <f t="shared" si="78"/>
        <v/>
      </c>
      <c r="K119" s="56" t="str">
        <f t="shared" si="79"/>
        <v/>
      </c>
      <c r="L119" s="56" t="str">
        <f t="shared" si="80"/>
        <v/>
      </c>
      <c r="M119" s="56" t="s">
        <v>220</v>
      </c>
      <c r="N119" s="56" t="str">
        <f t="shared" si="81"/>
        <v/>
      </c>
      <c r="O119" s="56" t="s">
        <v>220</v>
      </c>
      <c r="P119" s="56" t="s">
        <v>220</v>
      </c>
      <c r="Q119" s="56" t="s">
        <v>220</v>
      </c>
      <c r="R119" s="56" t="s">
        <v>220</v>
      </c>
      <c r="S119" s="56" t="s">
        <v>220</v>
      </c>
      <c r="T119" s="34" t="str">
        <f t="shared" si="82"/>
        <v/>
      </c>
      <c r="V119" s="12">
        <v>3.0000000000000001E-3</v>
      </c>
      <c r="W119" s="12">
        <f>V119</f>
        <v>3.0000000000000001E-3</v>
      </c>
      <c r="X119" s="12">
        <v>6</v>
      </c>
      <c r="Y119" s="12">
        <v>22</v>
      </c>
      <c r="AA119" s="12">
        <f>V119</f>
        <v>3.0000000000000001E-3</v>
      </c>
      <c r="AF119" s="12"/>
      <c r="AG119" s="12">
        <f>IF(V119+W119&gt;X119,X119,V119+W119)</f>
        <v>6.0000000000000001E-3</v>
      </c>
      <c r="AH119" s="90">
        <f>(V119+Y119)/2</f>
        <v>11.0015</v>
      </c>
      <c r="AI119" s="99">
        <f>'analyse import'!J120</f>
        <v>0</v>
      </c>
      <c r="AK119" s="12">
        <f t="shared" si="60"/>
        <v>0</v>
      </c>
    </row>
    <row r="120" spans="1:37">
      <c r="B120" s="11" t="s">
        <v>74</v>
      </c>
      <c r="C120" s="102">
        <f>'analyse import'!H121</f>
        <v>0</v>
      </c>
      <c r="D120" s="102">
        <f>'analyse import'!I121</f>
        <v>0</v>
      </c>
      <c r="E120" s="285" t="str">
        <f>IF(C120+D120&gt;0,'analyse import'!H121*10/omrekenen!J$3,"")</f>
        <v/>
      </c>
      <c r="F120" s="286" t="str">
        <f>IF(D120+C120&gt;0,'analyse import'!I121*10/omrekenen!K$3,"")</f>
        <v/>
      </c>
      <c r="G120" s="287" t="str">
        <f>IF(C120+D120&gt;0,(E120+F120)/'analyse import'!K121,"")</f>
        <v/>
      </c>
      <c r="H120" s="56" t="str">
        <f t="shared" si="76"/>
        <v/>
      </c>
      <c r="I120" s="56" t="str">
        <f t="shared" si="77"/>
        <v/>
      </c>
      <c r="J120" s="56" t="str">
        <f t="shared" si="78"/>
        <v/>
      </c>
      <c r="K120" s="56" t="str">
        <f t="shared" si="79"/>
        <v/>
      </c>
      <c r="L120" s="56" t="str">
        <f t="shared" si="80"/>
        <v/>
      </c>
      <c r="M120" s="56" t="s">
        <v>220</v>
      </c>
      <c r="N120" s="56" t="str">
        <f t="shared" si="81"/>
        <v/>
      </c>
      <c r="O120" s="56" t="s">
        <v>220</v>
      </c>
      <c r="P120" s="56" t="s">
        <v>220</v>
      </c>
      <c r="Q120" s="56" t="s">
        <v>220</v>
      </c>
      <c r="R120" s="56" t="s">
        <v>220</v>
      </c>
      <c r="S120" s="56" t="s">
        <v>220</v>
      </c>
      <c r="T120" s="34" t="str">
        <f t="shared" si="82"/>
        <v/>
      </c>
      <c r="V120" s="12">
        <v>1.4999999999999999E-2</v>
      </c>
      <c r="W120" s="12">
        <v>1</v>
      </c>
      <c r="X120" s="12">
        <v>6</v>
      </c>
      <c r="Y120" s="12">
        <v>21</v>
      </c>
      <c r="AA120" s="12">
        <f>V120</f>
        <v>1.4999999999999999E-2</v>
      </c>
      <c r="AF120" s="12"/>
      <c r="AG120" s="12">
        <f>IF(V120+W120&gt;X120,X120,V120+W120)</f>
        <v>1.0149999999999999</v>
      </c>
      <c r="AH120" s="90">
        <f>(V120+Y120)/2</f>
        <v>10.5075</v>
      </c>
      <c r="AI120" s="99">
        <f>'analyse import'!J121</f>
        <v>0</v>
      </c>
      <c r="AK120" s="12">
        <f t="shared" si="60"/>
        <v>0</v>
      </c>
    </row>
    <row r="121" spans="1:37">
      <c r="B121" s="11" t="s">
        <v>75</v>
      </c>
      <c r="C121" s="102">
        <f>'analyse import'!H122</f>
        <v>0</v>
      </c>
      <c r="D121" s="102">
        <f>'analyse import'!I122</f>
        <v>0</v>
      </c>
      <c r="E121" s="285" t="str">
        <f>IF(C121+D121&gt;0,'analyse import'!H122*10/omrekenen!J$3,"")</f>
        <v/>
      </c>
      <c r="F121" s="286" t="str">
        <f>IF(D121+C121&gt;0,'analyse import'!I122*10/omrekenen!K$3,"")</f>
        <v/>
      </c>
      <c r="G121" s="287" t="str">
        <f>IF(C121+D121&gt;0,(E121+F121)/'analyse import'!K122,"")</f>
        <v/>
      </c>
      <c r="H121" s="56" t="str">
        <f t="shared" si="76"/>
        <v/>
      </c>
      <c r="I121" s="56" t="str">
        <f t="shared" si="77"/>
        <v/>
      </c>
      <c r="J121" s="56" t="str">
        <f t="shared" si="78"/>
        <v/>
      </c>
      <c r="K121" s="56" t="str">
        <f t="shared" si="79"/>
        <v/>
      </c>
      <c r="L121" s="56" t="str">
        <f t="shared" si="80"/>
        <v/>
      </c>
      <c r="M121" s="56" t="s">
        <v>220</v>
      </c>
      <c r="N121" s="56" t="str">
        <f t="shared" si="81"/>
        <v/>
      </c>
      <c r="O121" s="56" t="str">
        <f>IF($C121+D121&gt;0,IF($G121&gt;AB121,"X","-"),"")</f>
        <v/>
      </c>
      <c r="P121" s="56" t="str">
        <f t="shared" ref="P121:P122" si="83">IF($C121+D121&gt;0,IF($G121&gt;AC121,"X","-"),"")</f>
        <v/>
      </c>
      <c r="Q121" s="56" t="s">
        <v>220</v>
      </c>
      <c r="R121" s="56" t="s">
        <v>220</v>
      </c>
      <c r="S121" s="56" t="s">
        <v>220</v>
      </c>
      <c r="T121" s="34" t="str">
        <f t="shared" si="82"/>
        <v/>
      </c>
      <c r="V121" s="12">
        <v>3.0000000000000001E-3</v>
      </c>
      <c r="W121" s="12">
        <v>1.4</v>
      </c>
      <c r="X121" s="12">
        <v>5</v>
      </c>
      <c r="Y121" s="12">
        <v>12</v>
      </c>
      <c r="AA121" s="12">
        <f>V121</f>
        <v>3.0000000000000001E-3</v>
      </c>
      <c r="AB121" s="12">
        <v>1.6E-2</v>
      </c>
      <c r="AC121" s="12">
        <v>5</v>
      </c>
      <c r="AD121" s="11"/>
      <c r="AF121" s="12"/>
      <c r="AG121" s="12">
        <f>IF(V121+W121&gt;X121,X121,V121+W121)</f>
        <v>1.4029999999999998</v>
      </c>
      <c r="AH121" s="90">
        <f>(V121+Y121)/2</f>
        <v>6.0015000000000001</v>
      </c>
      <c r="AI121" s="99">
        <f>'analyse import'!J122</f>
        <v>0</v>
      </c>
      <c r="AK121" s="12">
        <f t="shared" si="60"/>
        <v>0</v>
      </c>
    </row>
    <row r="122" spans="1:37">
      <c r="B122" s="11" t="s">
        <v>179</v>
      </c>
      <c r="C122" s="102">
        <f>'analyse import'!H123</f>
        <v>0</v>
      </c>
      <c r="D122" s="102">
        <f>'analyse import'!I123</f>
        <v>0</v>
      </c>
      <c r="E122" s="285" t="str">
        <f>IF(C122+D122&gt;0,'analyse import'!H123*10/omrekenen!J$3,"")</f>
        <v/>
      </c>
      <c r="F122" s="286" t="str">
        <f>IF(D122+C122&gt;0,'analyse import'!I123*10/omrekenen!K$3,"")</f>
        <v/>
      </c>
      <c r="G122" s="287" t="str">
        <f>IF(C122+D122&gt;0,(E122+F122)/'analyse import'!K123,"")</f>
        <v/>
      </c>
      <c r="H122" s="56" t="s">
        <v>220</v>
      </c>
      <c r="I122" s="56" t="s">
        <v>220</v>
      </c>
      <c r="J122" s="56" t="s">
        <v>220</v>
      </c>
      <c r="K122" s="56" t="s">
        <v>220</v>
      </c>
      <c r="L122" s="56" t="s">
        <v>220</v>
      </c>
      <c r="M122" s="56" t="s">
        <v>220</v>
      </c>
      <c r="N122" s="56" t="str">
        <f t="shared" si="81"/>
        <v/>
      </c>
      <c r="O122" s="56" t="s">
        <v>220</v>
      </c>
      <c r="P122" s="56" t="str">
        <f t="shared" si="83"/>
        <v/>
      </c>
      <c r="Q122" s="56" t="str">
        <f>IF($C122+D122&gt;0,IF($G122&gt;AD122,"X","-"),"")</f>
        <v/>
      </c>
      <c r="R122" s="56" t="s">
        <v>220</v>
      </c>
      <c r="S122" s="56" t="s">
        <v>220</v>
      </c>
      <c r="T122" s="34" t="str">
        <f t="shared" si="82"/>
        <v/>
      </c>
      <c r="AA122" s="12">
        <v>0.2</v>
      </c>
      <c r="AC122" s="12">
        <v>10</v>
      </c>
      <c r="AD122" s="12">
        <f>AC122</f>
        <v>10</v>
      </c>
      <c r="AF122" s="12"/>
      <c r="AI122" s="99">
        <f>'analyse import'!J123</f>
        <v>0</v>
      </c>
      <c r="AK122" s="12">
        <f t="shared" si="60"/>
        <v>0</v>
      </c>
    </row>
    <row r="123" spans="1:37">
      <c r="C123" s="12"/>
      <c r="D123" s="12"/>
      <c r="E123" s="276"/>
      <c r="F123" s="277"/>
      <c r="G123" s="71"/>
      <c r="AF123" s="12"/>
      <c r="AI123" s="99">
        <v>0</v>
      </c>
      <c r="AK123" s="12"/>
    </row>
    <row r="124" spans="1:37">
      <c r="A124" s="10" t="s">
        <v>76</v>
      </c>
      <c r="B124" s="35" t="s">
        <v>77</v>
      </c>
      <c r="C124" s="33" t="s">
        <v>5</v>
      </c>
      <c r="D124" s="33" t="s">
        <v>5</v>
      </c>
      <c r="E124" s="273" t="s">
        <v>5</v>
      </c>
      <c r="F124" s="274" t="s">
        <v>5</v>
      </c>
      <c r="G124" s="72" t="s">
        <v>5</v>
      </c>
      <c r="H124" s="33" t="s">
        <v>229</v>
      </c>
      <c r="I124" s="33" t="s">
        <v>228</v>
      </c>
      <c r="J124" s="33" t="s">
        <v>227</v>
      </c>
      <c r="K124" s="33" t="s">
        <v>232</v>
      </c>
      <c r="L124" s="33" t="s">
        <v>267</v>
      </c>
      <c r="M124" s="33" t="s">
        <v>234</v>
      </c>
      <c r="N124" s="33" t="s">
        <v>230</v>
      </c>
      <c r="O124" s="33" t="s">
        <v>170</v>
      </c>
      <c r="P124" s="33" t="s">
        <v>171</v>
      </c>
      <c r="Q124" s="33" t="s">
        <v>231</v>
      </c>
      <c r="R124" s="33" t="s">
        <v>233</v>
      </c>
      <c r="S124" s="33" t="s">
        <v>185</v>
      </c>
      <c r="T124" s="116" t="s">
        <v>272</v>
      </c>
      <c r="AF124" s="12"/>
      <c r="AG124" s="30" t="s">
        <v>266</v>
      </c>
      <c r="AH124" s="30" t="s">
        <v>265</v>
      </c>
      <c r="AI124" s="45">
        <f>IF(SUM(AI125:AI132)&gt;0,1,0)</f>
        <v>0</v>
      </c>
      <c r="AK124" s="12"/>
    </row>
    <row r="125" spans="1:37">
      <c r="B125" s="11" t="s">
        <v>79</v>
      </c>
      <c r="C125" s="102">
        <f>'analyse import'!H126</f>
        <v>0</v>
      </c>
      <c r="D125" s="102">
        <f>'analyse import'!I126</f>
        <v>0</v>
      </c>
      <c r="E125" s="288" t="str">
        <f>IF(C125+D125&gt;0,'analyse import'!H126*10/omrekenen!J$3,"")</f>
        <v/>
      </c>
      <c r="F125" s="289" t="str">
        <f>IF(D125+C125&gt;0,'analyse import'!I126*10/omrekenen!K$3,"")</f>
        <v/>
      </c>
      <c r="G125" s="290" t="str">
        <f>IF(C125+D125&gt;0,(E125+F125)/'analyse import'!K126,"")</f>
        <v/>
      </c>
      <c r="H125" s="56" t="s">
        <v>220</v>
      </c>
      <c r="I125" s="56" t="s">
        <v>220</v>
      </c>
      <c r="J125" s="56" t="s">
        <v>220</v>
      </c>
      <c r="K125" s="56" t="s">
        <v>220</v>
      </c>
      <c r="L125" s="56" t="s">
        <v>220</v>
      </c>
      <c r="M125" s="56" t="s">
        <v>220</v>
      </c>
      <c r="N125" s="56" t="str">
        <f t="shared" ref="N125:N132" si="84">IF($C125+D125&gt;0,IF($G125&gt;AA125,"X","-"),"")</f>
        <v/>
      </c>
      <c r="O125" s="56" t="str">
        <f t="shared" ref="O125:O132" si="85">IF($C125+D125&gt;0,IF($G125&gt;AB125,"X","-"),"")</f>
        <v/>
      </c>
      <c r="P125" s="56" t="s">
        <v>220</v>
      </c>
      <c r="Q125" s="56" t="s">
        <v>220</v>
      </c>
      <c r="R125" s="56" t="s">
        <v>220</v>
      </c>
      <c r="S125" s="56" t="s">
        <v>220</v>
      </c>
      <c r="T125" s="34" t="str">
        <f t="shared" ref="T125:T132" si="86">IF(C125*D125&gt;0,MAX(C125:D125)/MIN(C125:D125),"")</f>
        <v/>
      </c>
      <c r="AA125" s="415">
        <f>IF(AVERAGE(C125:D125)&gt;0.0007,0.0015,0.0035)</f>
        <v>3.5000000000000001E-3</v>
      </c>
      <c r="AB125" s="12">
        <v>1.4E-2</v>
      </c>
      <c r="AD125" s="11"/>
      <c r="AF125" s="12"/>
      <c r="AI125" s="45">
        <f>'analyse import'!J126</f>
        <v>0</v>
      </c>
      <c r="AK125" s="12">
        <f t="shared" si="60"/>
        <v>0</v>
      </c>
    </row>
    <row r="126" spans="1:37">
      <c r="B126" s="11" t="s">
        <v>80</v>
      </c>
      <c r="C126" s="102">
        <f>'analyse import'!H127</f>
        <v>0</v>
      </c>
      <c r="D126" s="102">
        <f>'analyse import'!I127</f>
        <v>0</v>
      </c>
      <c r="E126" s="288" t="str">
        <f>IF(C126+D126&gt;0,'analyse import'!H127*10/omrekenen!J$3,"")</f>
        <v/>
      </c>
      <c r="F126" s="289" t="str">
        <f>IF(D126+C126&gt;0,'analyse import'!I127*10/omrekenen!K$3,"")</f>
        <v/>
      </c>
      <c r="G126" s="290" t="str">
        <f>IF(C126+D126&gt;0,(E126+F126)/'analyse import'!K127,"")</f>
        <v/>
      </c>
      <c r="H126" s="56" t="s">
        <v>220</v>
      </c>
      <c r="I126" s="56" t="s">
        <v>220</v>
      </c>
      <c r="J126" s="56" t="s">
        <v>220</v>
      </c>
      <c r="K126" s="56" t="s">
        <v>220</v>
      </c>
      <c r="L126" s="56" t="s">
        <v>220</v>
      </c>
      <c r="M126" s="56" t="s">
        <v>220</v>
      </c>
      <c r="N126" s="56" t="str">
        <f t="shared" si="84"/>
        <v/>
      </c>
      <c r="O126" s="56" t="str">
        <f t="shared" si="85"/>
        <v/>
      </c>
      <c r="P126" s="56" t="s">
        <v>220</v>
      </c>
      <c r="Q126" s="56" t="s">
        <v>220</v>
      </c>
      <c r="R126" s="56" t="s">
        <v>220</v>
      </c>
      <c r="S126" s="56" t="s">
        <v>220</v>
      </c>
      <c r="T126" s="34" t="str">
        <f t="shared" si="86"/>
        <v/>
      </c>
      <c r="AA126" s="415">
        <f>IF(AVERAGE(C126:D126)&gt;0.0007,0.0002,0.0035)</f>
        <v>3.5000000000000001E-3</v>
      </c>
      <c r="AB126" s="12">
        <v>1.4999999999999999E-2</v>
      </c>
      <c r="AD126" s="11"/>
      <c r="AF126" s="12"/>
      <c r="AI126" s="45">
        <f>'analyse import'!J127</f>
        <v>0</v>
      </c>
      <c r="AK126" s="12">
        <f t="shared" si="60"/>
        <v>0</v>
      </c>
    </row>
    <row r="127" spans="1:37">
      <c r="B127" s="11" t="s">
        <v>85</v>
      </c>
      <c r="C127" s="102">
        <f>'analyse import'!H128</f>
        <v>0</v>
      </c>
      <c r="D127" s="102">
        <f>'analyse import'!I128</f>
        <v>0</v>
      </c>
      <c r="E127" s="288" t="str">
        <f>IF(C127+D127&gt;0,'analyse import'!H128*10/omrekenen!J$3,"")</f>
        <v/>
      </c>
      <c r="F127" s="289" t="str">
        <f>IF(D127+C127&gt;0,'analyse import'!I128*10/omrekenen!K$3,"")</f>
        <v/>
      </c>
      <c r="G127" s="290" t="str">
        <f>IF(C127+D127&gt;0,(E127+F127)/'analyse import'!K128,"")</f>
        <v/>
      </c>
      <c r="H127" s="56" t="s">
        <v>220</v>
      </c>
      <c r="I127" s="56" t="s">
        <v>220</v>
      </c>
      <c r="J127" s="56" t="s">
        <v>220</v>
      </c>
      <c r="K127" s="56" t="s">
        <v>220</v>
      </c>
      <c r="L127" s="56" t="s">
        <v>220</v>
      </c>
      <c r="M127" s="56" t="s">
        <v>220</v>
      </c>
      <c r="N127" s="56" t="str">
        <f t="shared" si="84"/>
        <v/>
      </c>
      <c r="O127" s="56" t="str">
        <f t="shared" si="85"/>
        <v/>
      </c>
      <c r="P127" s="56" t="s">
        <v>220</v>
      </c>
      <c r="Q127" s="56" t="s">
        <v>220</v>
      </c>
      <c r="R127" s="56" t="s">
        <v>220</v>
      </c>
      <c r="S127" s="56" t="s">
        <v>220</v>
      </c>
      <c r="T127" s="34" t="str">
        <f t="shared" si="86"/>
        <v/>
      </c>
      <c r="AA127" s="415">
        <f>IF(AVERAGE(C127:D127)&gt;0.007,0.0015,0.0035)</f>
        <v>3.5000000000000001E-3</v>
      </c>
      <c r="AB127" s="12">
        <v>2.3E-2</v>
      </c>
      <c r="AD127" s="11"/>
      <c r="AF127" s="12"/>
      <c r="AI127" s="45">
        <f>'analyse import'!J128</f>
        <v>0</v>
      </c>
      <c r="AK127" s="12">
        <f t="shared" si="60"/>
        <v>0</v>
      </c>
    </row>
    <row r="128" spans="1:37">
      <c r="B128" s="11" t="s">
        <v>84</v>
      </c>
      <c r="C128" s="102">
        <f>'analyse import'!H129</f>
        <v>0</v>
      </c>
      <c r="D128" s="102">
        <f>'analyse import'!I129</f>
        <v>0</v>
      </c>
      <c r="E128" s="288" t="str">
        <f>IF(C128+D128&gt;0,'analyse import'!H129*10/omrekenen!J$3,"")</f>
        <v/>
      </c>
      <c r="F128" s="289" t="str">
        <f>IF(D128+C128&gt;0,'analyse import'!I129*10/omrekenen!K$3,"")</f>
        <v/>
      </c>
      <c r="G128" s="290" t="str">
        <f>IF(C128+D128&gt;0,(E128+F128)/'analyse import'!K129,"")</f>
        <v/>
      </c>
      <c r="H128" s="56" t="s">
        <v>220</v>
      </c>
      <c r="I128" s="56" t="s">
        <v>220</v>
      </c>
      <c r="J128" s="56" t="s">
        <v>220</v>
      </c>
      <c r="K128" s="56" t="s">
        <v>220</v>
      </c>
      <c r="L128" s="56" t="s">
        <v>220</v>
      </c>
      <c r="M128" s="56" t="s">
        <v>220</v>
      </c>
      <c r="N128" s="56" t="str">
        <f t="shared" si="84"/>
        <v/>
      </c>
      <c r="O128" s="56" t="str">
        <f t="shared" si="85"/>
        <v/>
      </c>
      <c r="P128" s="56" t="s">
        <v>220</v>
      </c>
      <c r="Q128" s="56" t="s">
        <v>220</v>
      </c>
      <c r="R128" s="56" t="s">
        <v>220</v>
      </c>
      <c r="S128" s="56" t="s">
        <v>220</v>
      </c>
      <c r="T128" s="34" t="str">
        <f t="shared" si="86"/>
        <v/>
      </c>
      <c r="AA128" s="102">
        <v>4.4999999999999997E-3</v>
      </c>
      <c r="AB128" s="12">
        <v>1.6E-2</v>
      </c>
      <c r="AD128" s="11"/>
      <c r="AF128" s="12"/>
      <c r="AI128" s="45">
        <f>'analyse import'!J129</f>
        <v>0</v>
      </c>
      <c r="AK128" s="12">
        <f t="shared" si="60"/>
        <v>0</v>
      </c>
    </row>
    <row r="129" spans="1:37">
      <c r="B129" s="11" t="s">
        <v>180</v>
      </c>
      <c r="C129" s="102">
        <f>'analyse import'!H130</f>
        <v>0</v>
      </c>
      <c r="D129" s="102">
        <f>'analyse import'!I130</f>
        <v>0</v>
      </c>
      <c r="E129" s="288" t="str">
        <f>IF(C129+D129&gt;0,'analyse import'!H130*10/omrekenen!J$3,"")</f>
        <v/>
      </c>
      <c r="F129" s="289" t="str">
        <f>IF(D129+C129&gt;0,'analyse import'!I130*10/omrekenen!K$3,"")</f>
        <v/>
      </c>
      <c r="G129" s="290" t="str">
        <f>IF(C129+D129&gt;0,(E129+F129)/'analyse import'!K130,"")</f>
        <v/>
      </c>
      <c r="H129" s="56" t="s">
        <v>220</v>
      </c>
      <c r="I129" s="56" t="s">
        <v>220</v>
      </c>
      <c r="J129" s="56" t="s">
        <v>220</v>
      </c>
      <c r="K129" s="56" t="s">
        <v>220</v>
      </c>
      <c r="L129" s="56" t="s">
        <v>220</v>
      </c>
      <c r="M129" s="56" t="s">
        <v>220</v>
      </c>
      <c r="N129" s="56" t="str">
        <f t="shared" si="84"/>
        <v/>
      </c>
      <c r="O129" s="56" t="str">
        <f t="shared" si="85"/>
        <v/>
      </c>
      <c r="P129" s="56" t="s">
        <v>220</v>
      </c>
      <c r="Q129" s="56" t="s">
        <v>220</v>
      </c>
      <c r="R129" s="56" t="s">
        <v>220</v>
      </c>
      <c r="S129" s="56" t="s">
        <v>220</v>
      </c>
      <c r="T129" s="34" t="str">
        <f t="shared" si="86"/>
        <v/>
      </c>
      <c r="AA129" s="102">
        <v>4.0000000000000001E-3</v>
      </c>
      <c r="AB129" s="12">
        <v>2.7E-2</v>
      </c>
      <c r="AD129" s="11"/>
      <c r="AF129" s="12"/>
      <c r="AI129" s="45">
        <f>'analyse import'!J130</f>
        <v>0</v>
      </c>
      <c r="AK129" s="12">
        <f t="shared" si="60"/>
        <v>0</v>
      </c>
    </row>
    <row r="130" spans="1:37">
      <c r="B130" s="11" t="s">
        <v>81</v>
      </c>
      <c r="C130" s="102">
        <f>'analyse import'!H131</f>
        <v>0</v>
      </c>
      <c r="D130" s="102">
        <f>'analyse import'!I131</f>
        <v>0</v>
      </c>
      <c r="E130" s="288" t="str">
        <f>IF(C130+D130&gt;0,'analyse import'!H131*10/omrekenen!J$3,"")</f>
        <v/>
      </c>
      <c r="F130" s="289" t="str">
        <f>IF(D130+C130&gt;0,'analyse import'!I131*10/omrekenen!K$3,"")</f>
        <v/>
      </c>
      <c r="G130" s="290" t="str">
        <f>IF(C130+D130&gt;0,(E130+F130)/'analyse import'!K131,"")</f>
        <v/>
      </c>
      <c r="H130" s="56" t="s">
        <v>220</v>
      </c>
      <c r="I130" s="56" t="s">
        <v>220</v>
      </c>
      <c r="J130" s="56" t="s">
        <v>220</v>
      </c>
      <c r="K130" s="56" t="s">
        <v>220</v>
      </c>
      <c r="L130" s="56" t="s">
        <v>220</v>
      </c>
      <c r="M130" s="56" t="s">
        <v>220</v>
      </c>
      <c r="N130" s="56" t="str">
        <f t="shared" si="84"/>
        <v/>
      </c>
      <c r="O130" s="56" t="str">
        <f t="shared" si="85"/>
        <v/>
      </c>
      <c r="P130" s="56" t="s">
        <v>220</v>
      </c>
      <c r="Q130" s="56" t="s">
        <v>220</v>
      </c>
      <c r="R130" s="56" t="s">
        <v>220</v>
      </c>
      <c r="S130" s="56" t="s">
        <v>220</v>
      </c>
      <c r="T130" s="34" t="str">
        <f t="shared" si="86"/>
        <v/>
      </c>
      <c r="AA130" s="102">
        <v>3.5000000000000001E-3</v>
      </c>
      <c r="AB130" s="12">
        <v>3.3000000000000002E-2</v>
      </c>
      <c r="AD130" s="11"/>
      <c r="AF130" s="12"/>
      <c r="AI130" s="45">
        <f>'analyse import'!J131</f>
        <v>0</v>
      </c>
      <c r="AK130" s="12">
        <f t="shared" si="60"/>
        <v>0</v>
      </c>
    </row>
    <row r="131" spans="1:37">
      <c r="B131" s="11" t="s">
        <v>82</v>
      </c>
      <c r="C131" s="102">
        <f>'analyse import'!H132</f>
        <v>0</v>
      </c>
      <c r="D131" s="102">
        <f>'analyse import'!I132</f>
        <v>0</v>
      </c>
      <c r="E131" s="288" t="str">
        <f>IF(C131+D131&gt;0,'analyse import'!H132*10/omrekenen!J$3,"")</f>
        <v/>
      </c>
      <c r="F131" s="289" t="str">
        <f>IF(D131+C131&gt;0,'analyse import'!I132*10/omrekenen!K$3,"")</f>
        <v/>
      </c>
      <c r="G131" s="290" t="str">
        <f>IF(C131+D131&gt;0,(E131+F131)/'analyse import'!K132,"")</f>
        <v/>
      </c>
      <c r="H131" s="56" t="s">
        <v>220</v>
      </c>
      <c r="I131" s="56" t="s">
        <v>220</v>
      </c>
      <c r="J131" s="56" t="s">
        <v>220</v>
      </c>
      <c r="K131" s="56" t="s">
        <v>220</v>
      </c>
      <c r="L131" s="56" t="s">
        <v>220</v>
      </c>
      <c r="M131" s="56" t="s">
        <v>220</v>
      </c>
      <c r="N131" s="56" t="str">
        <f t="shared" si="84"/>
        <v/>
      </c>
      <c r="O131" s="56" t="str">
        <f t="shared" si="85"/>
        <v/>
      </c>
      <c r="P131" s="56" t="s">
        <v>220</v>
      </c>
      <c r="Q131" s="56" t="s">
        <v>220</v>
      </c>
      <c r="R131" s="56" t="s">
        <v>220</v>
      </c>
      <c r="S131" s="56" t="s">
        <v>220</v>
      </c>
      <c r="T131" s="34" t="str">
        <f t="shared" si="86"/>
        <v/>
      </c>
      <c r="AA131" s="415">
        <f>IF(AVERAGE(C131:D131)&gt;0.0007,0.0025,0.0035)</f>
        <v>3.5000000000000001E-3</v>
      </c>
      <c r="AB131" s="12">
        <v>1.7999999999999999E-2</v>
      </c>
      <c r="AD131" s="11"/>
      <c r="AF131" s="12"/>
      <c r="AI131" s="45">
        <f>'analyse import'!J132</f>
        <v>0</v>
      </c>
      <c r="AK131" s="12">
        <f t="shared" si="60"/>
        <v>0</v>
      </c>
    </row>
    <row r="132" spans="1:37">
      <c r="B132" s="11" t="s">
        <v>83</v>
      </c>
      <c r="C132" s="102">
        <f>SUBTOTAL(9,C125:C131)</f>
        <v>0</v>
      </c>
      <c r="D132" s="102">
        <f>SUBTOTAL(9,D125:D131)</f>
        <v>0</v>
      </c>
      <c r="E132" s="288">
        <f>SUBTOTAL(9,E125:E131)</f>
        <v>0</v>
      </c>
      <c r="F132" s="289">
        <f>SUBTOTAL(9,F125:F131)</f>
        <v>0</v>
      </c>
      <c r="G132" s="290" t="str">
        <f>IF(C132+D132&gt;0,(E132+F132)/'analyse import'!K133,"")</f>
        <v/>
      </c>
      <c r="H132" s="56" t="str">
        <f>IF($C132+$D132&gt;0,IF($G132&gt;2*V132,"2x",IF($G132&gt;V132,"X","-")),"")</f>
        <v/>
      </c>
      <c r="I132" s="56" t="str">
        <f>IF($C132+D132&gt;0,IF($G132&gt;AG132,"@",IF(G132&gt;W132,"X","-")),"")</f>
        <v/>
      </c>
      <c r="J132" s="56" t="str">
        <f>IF($C132+D132&gt;0,IF($G132&gt;X132,"X","-"),"")</f>
        <v/>
      </c>
      <c r="K132" s="56" t="str">
        <f>IF($C132+D132&gt;0,IF($G132&gt;Y132,"X","-"),"")</f>
        <v/>
      </c>
      <c r="L132" s="56" t="str">
        <f>IF($C132+D132&gt;0,IF($G132&gt;AH132,"X","-"),"")</f>
        <v/>
      </c>
      <c r="M132" s="56" t="s">
        <v>220</v>
      </c>
      <c r="N132" s="56" t="str">
        <f t="shared" si="84"/>
        <v/>
      </c>
      <c r="O132" s="56" t="str">
        <f t="shared" si="85"/>
        <v/>
      </c>
      <c r="P132" s="56" t="str">
        <f>IF($C132+D132&gt;0,IF($G132&gt;AC132,"X","-"),"")</f>
        <v/>
      </c>
      <c r="Q132" s="56" t="str">
        <f>IF($C132+D132&gt;0,IF($G132&gt;AD132,"X","-"),"")</f>
        <v/>
      </c>
      <c r="R132" s="56" t="s">
        <v>220</v>
      </c>
      <c r="S132" s="56" t="str">
        <f>IF($C132+D132&gt;0,IF($G132&gt;AF132,"X","-"),"")</f>
        <v/>
      </c>
      <c r="T132" s="34" t="str">
        <f t="shared" si="86"/>
        <v/>
      </c>
      <c r="V132" s="12">
        <f>'analyse import'!U133</f>
        <v>0.02</v>
      </c>
      <c r="W132" s="12">
        <v>0.04</v>
      </c>
      <c r="X132" s="12">
        <v>0.5</v>
      </c>
      <c r="Y132" s="12">
        <v>1</v>
      </c>
      <c r="AA132" s="12">
        <f>V132</f>
        <v>0.02</v>
      </c>
      <c r="AB132" s="12">
        <v>0.13900000000000001</v>
      </c>
      <c r="AC132" s="12">
        <v>1</v>
      </c>
      <c r="AD132" s="12">
        <f>AC132</f>
        <v>1</v>
      </c>
      <c r="AF132" s="12">
        <v>0.1</v>
      </c>
      <c r="AG132" s="12">
        <v>0.06</v>
      </c>
      <c r="AH132" s="12">
        <f>1.02/2</f>
        <v>0.51</v>
      </c>
      <c r="AI132" s="45">
        <f>'analyse import'!J133</f>
        <v>0</v>
      </c>
      <c r="AK132" s="12">
        <f t="shared" si="60"/>
        <v>0</v>
      </c>
    </row>
    <row r="133" spans="1:37">
      <c r="C133" s="12"/>
      <c r="D133" s="12"/>
      <c r="E133" s="276"/>
      <c r="F133" s="277"/>
      <c r="G133" s="71"/>
      <c r="AD133" s="11"/>
      <c r="AF133" s="12"/>
      <c r="AI133" s="99">
        <v>0</v>
      </c>
      <c r="AK133" s="12"/>
    </row>
    <row r="134" spans="1:37">
      <c r="A134" s="10" t="s">
        <v>86</v>
      </c>
      <c r="B134" s="35" t="s">
        <v>87</v>
      </c>
      <c r="C134" s="33" t="s">
        <v>5</v>
      </c>
      <c r="D134" s="33" t="s">
        <v>5</v>
      </c>
      <c r="E134" s="273" t="s">
        <v>5</v>
      </c>
      <c r="F134" s="274" t="s">
        <v>5</v>
      </c>
      <c r="G134" s="72" t="s">
        <v>5</v>
      </c>
      <c r="H134" s="33" t="s">
        <v>229</v>
      </c>
      <c r="I134" s="33" t="s">
        <v>228</v>
      </c>
      <c r="J134" s="33" t="s">
        <v>227</v>
      </c>
      <c r="K134" s="33" t="s">
        <v>232</v>
      </c>
      <c r="L134" s="33" t="s">
        <v>267</v>
      </c>
      <c r="M134" s="33" t="s">
        <v>234</v>
      </c>
      <c r="N134" s="33" t="s">
        <v>230</v>
      </c>
      <c r="O134" s="33" t="s">
        <v>170</v>
      </c>
      <c r="P134" s="33" t="s">
        <v>171</v>
      </c>
      <c r="Q134" s="33" t="s">
        <v>231</v>
      </c>
      <c r="R134" s="33" t="s">
        <v>233</v>
      </c>
      <c r="S134" s="33" t="s">
        <v>185</v>
      </c>
      <c r="T134" s="116" t="s">
        <v>272</v>
      </c>
      <c r="AD134" s="11"/>
      <c r="AF134" s="12"/>
      <c r="AI134" s="99">
        <f>IF(SUM(AI135:AI138)&gt;0,1,0)</f>
        <v>0</v>
      </c>
      <c r="AK134" s="12"/>
    </row>
    <row r="135" spans="1:37">
      <c r="B135" s="11" t="s">
        <v>403</v>
      </c>
      <c r="C135" s="102">
        <f>'analyse import'!H136</f>
        <v>0</v>
      </c>
      <c r="D135" s="102">
        <f>'analyse import'!I136</f>
        <v>0</v>
      </c>
      <c r="E135" s="285" t="str">
        <f>IF(C135+D135&gt;0,'analyse import'!H136*10/omrekenen!J$3,"")</f>
        <v/>
      </c>
      <c r="F135" s="286" t="str">
        <f>IF(D135+C135&gt;0,'analyse import'!I136*10/omrekenen!K$3,"")</f>
        <v/>
      </c>
      <c r="G135" s="287" t="str">
        <f>IF(C135+D135&gt;0,(E135+F135)/'analyse import'!K136,"")</f>
        <v/>
      </c>
      <c r="H135" s="56" t="str">
        <f t="shared" ref="H135:H138" si="87">IF($C135+$D135&gt;0,IF($G135&gt;2*V135,"2x",IF($G135&gt;V135,"X","-")),"")</f>
        <v/>
      </c>
      <c r="I135" s="56" t="str">
        <f t="shared" ref="I135:I138" si="88">IF($C135+D135&gt;0,IF($G135&gt;AG135,"@",IF(G135&gt;W135,"X","-")),"")</f>
        <v/>
      </c>
      <c r="J135" s="56" t="str">
        <f t="shared" ref="J135:J138" si="89">IF($C135+D135&gt;0,IF($G135&gt;X135,"X","-"),"")</f>
        <v/>
      </c>
      <c r="K135" s="56" t="str">
        <f t="shared" ref="K135:K138" si="90">IF($C135+D135&gt;0,IF($G135&gt;Y135,"X","-"),"")</f>
        <v/>
      </c>
      <c r="L135" s="56" t="str">
        <f t="shared" ref="L135:L138" si="91">IF($C135+D135&gt;0,IF($G135&gt;AH135,"X","-"),"")</f>
        <v/>
      </c>
      <c r="M135" s="56" t="s">
        <v>220</v>
      </c>
      <c r="N135" s="56" t="str">
        <f t="shared" ref="N135:N138" si="92">IF($C135+D135&gt;0,IF($G135&gt;AA135,"X","-"),"")</f>
        <v/>
      </c>
      <c r="O135" s="56" t="s">
        <v>220</v>
      </c>
      <c r="P135" s="56" t="str">
        <f>IF($C135+D135&gt;0,IF($G135&gt;AC135,"X","-"),"")</f>
        <v/>
      </c>
      <c r="Q135" s="56" t="s">
        <v>220</v>
      </c>
      <c r="R135" s="56" t="s">
        <v>220</v>
      </c>
      <c r="S135" s="56" t="s">
        <v>220</v>
      </c>
      <c r="T135" s="34" t="str">
        <f t="shared" ref="T135:T138" si="93">IF(C135*D135&gt;0,MAX(C135:D135)/MIN(C135:D135),"")</f>
        <v/>
      </c>
      <c r="V135" s="12">
        <v>0.2</v>
      </c>
      <c r="W135" s="12">
        <v>0.2</v>
      </c>
      <c r="X135" s="12">
        <v>0.2</v>
      </c>
      <c r="Y135" s="12">
        <v>50</v>
      </c>
      <c r="AA135" s="12">
        <f>V135</f>
        <v>0.2</v>
      </c>
      <c r="AC135" s="12">
        <v>50</v>
      </c>
      <c r="AD135" s="11"/>
      <c r="AF135" s="12"/>
      <c r="AG135" s="12">
        <f>IF(V135+W135&gt;X135,X135,V135+W135)</f>
        <v>0.2</v>
      </c>
      <c r="AH135" s="90">
        <f>(V135+Y135)/2</f>
        <v>25.1</v>
      </c>
      <c r="AI135" s="99">
        <f>'analyse import'!J136</f>
        <v>0</v>
      </c>
      <c r="AK135" s="12">
        <f t="shared" si="60"/>
        <v>0</v>
      </c>
    </row>
    <row r="136" spans="1:37">
      <c r="B136" s="11" t="s">
        <v>88</v>
      </c>
      <c r="C136" s="102">
        <f>'analyse import'!H137</f>
        <v>0</v>
      </c>
      <c r="D136" s="102">
        <f>'analyse import'!I137</f>
        <v>0</v>
      </c>
      <c r="E136" s="285" t="str">
        <f>IF(C136+D136&gt;0,'analyse import'!H137*10/omrekenen!J$3,"")</f>
        <v/>
      </c>
      <c r="F136" s="286" t="str">
        <f>IF(D136+C136&gt;0,'analyse import'!I137*10/omrekenen!K$3,"")</f>
        <v/>
      </c>
      <c r="G136" s="287" t="str">
        <f>IF(C136+D136&gt;0,(E136+F136)/'analyse import'!K137,"")</f>
        <v/>
      </c>
      <c r="H136" s="56" t="str">
        <f t="shared" si="87"/>
        <v/>
      </c>
      <c r="I136" s="56" t="str">
        <f t="shared" si="88"/>
        <v/>
      </c>
      <c r="J136" s="56" t="str">
        <f t="shared" si="89"/>
        <v/>
      </c>
      <c r="K136" s="56" t="str">
        <f t="shared" si="90"/>
        <v/>
      </c>
      <c r="L136" s="56" t="str">
        <f t="shared" si="91"/>
        <v/>
      </c>
      <c r="M136" s="56" t="s">
        <v>220</v>
      </c>
      <c r="N136" s="56" t="str">
        <f t="shared" si="92"/>
        <v/>
      </c>
      <c r="O136" s="56" t="s">
        <v>220</v>
      </c>
      <c r="P136" s="56" t="s">
        <v>220</v>
      </c>
      <c r="Q136" s="56" t="s">
        <v>220</v>
      </c>
      <c r="R136" s="56" t="s">
        <v>220</v>
      </c>
      <c r="S136" s="56" t="s">
        <v>220</v>
      </c>
      <c r="T136" s="34" t="str">
        <f t="shared" si="93"/>
        <v/>
      </c>
      <c r="V136" s="12">
        <v>0.15</v>
      </c>
      <c r="W136" s="12">
        <v>0.15</v>
      </c>
      <c r="X136" s="12">
        <v>0.15</v>
      </c>
      <c r="Y136" s="12">
        <v>10</v>
      </c>
      <c r="AA136" s="12">
        <f>V136</f>
        <v>0.15</v>
      </c>
      <c r="AF136" s="12"/>
      <c r="AG136" s="12">
        <f>IF(V136+W136&gt;X136,X136,V136+W136)</f>
        <v>0.15</v>
      </c>
      <c r="AH136" s="90">
        <f>(V136+Y136)/2</f>
        <v>5.0750000000000002</v>
      </c>
      <c r="AI136" s="99">
        <f>'analyse import'!J137</f>
        <v>0</v>
      </c>
      <c r="AK136" s="12">
        <f t="shared" si="60"/>
        <v>0</v>
      </c>
    </row>
    <row r="137" spans="1:37">
      <c r="B137" s="11" t="s">
        <v>89</v>
      </c>
      <c r="C137" s="102">
        <f>'analyse import'!H138</f>
        <v>0</v>
      </c>
      <c r="D137" s="102">
        <f>'analyse import'!I138</f>
        <v>0</v>
      </c>
      <c r="E137" s="288" t="str">
        <f>IF(C137+D137&gt;0,'analyse import'!H138*10/omrekenen!J$3,"")</f>
        <v/>
      </c>
      <c r="F137" s="289" t="str">
        <f>IF(D137+C137&gt;0,'analyse import'!I138*10/omrekenen!K$3,"")</f>
        <v/>
      </c>
      <c r="G137" s="290" t="str">
        <f>IF(C137+D137&gt;0,(E137+F137)/'analyse import'!K138,"")</f>
        <v/>
      </c>
      <c r="H137" s="56" t="str">
        <f t="shared" si="87"/>
        <v/>
      </c>
      <c r="I137" s="56" t="str">
        <f t="shared" si="88"/>
        <v/>
      </c>
      <c r="J137" s="56" t="str">
        <f t="shared" si="89"/>
        <v/>
      </c>
      <c r="K137" s="56" t="str">
        <f t="shared" si="90"/>
        <v/>
      </c>
      <c r="L137" s="56" t="str">
        <f t="shared" si="91"/>
        <v/>
      </c>
      <c r="M137" s="56" t="s">
        <v>220</v>
      </c>
      <c r="N137" s="56" t="str">
        <f t="shared" si="92"/>
        <v/>
      </c>
      <c r="O137" s="56" t="s">
        <v>220</v>
      </c>
      <c r="P137" s="56" t="s">
        <v>220</v>
      </c>
      <c r="Q137" s="56" t="s">
        <v>220</v>
      </c>
      <c r="R137" s="56" t="s">
        <v>220</v>
      </c>
      <c r="S137" s="56" t="s">
        <v>220</v>
      </c>
      <c r="T137" s="34" t="str">
        <f t="shared" si="93"/>
        <v/>
      </c>
      <c r="V137" s="12">
        <v>5.5000000000000002E-5</v>
      </c>
      <c r="W137" s="12">
        <v>5.5000000000000002E-5</v>
      </c>
      <c r="X137" s="12">
        <v>5.5000000000000002E-5</v>
      </c>
      <c r="Y137" s="12">
        <v>1.8000000000000001E-4</v>
      </c>
      <c r="AA137" s="12">
        <f>V137</f>
        <v>5.5000000000000002E-5</v>
      </c>
      <c r="AF137" s="12"/>
      <c r="AG137" s="12">
        <f>IF(V137+W137&gt;X137,X137,V137+W137)</f>
        <v>5.5000000000000002E-5</v>
      </c>
      <c r="AH137" s="76">
        <f>(V137+Y137)/2</f>
        <v>1.1750000000000001E-4</v>
      </c>
      <c r="AI137" s="99">
        <f>'analyse import'!J138</f>
        <v>0</v>
      </c>
      <c r="AK137" s="12">
        <f t="shared" si="60"/>
        <v>0</v>
      </c>
    </row>
    <row r="138" spans="1:37">
      <c r="B138" s="11" t="s">
        <v>90</v>
      </c>
      <c r="C138" s="102">
        <f>'analyse import'!H139</f>
        <v>0</v>
      </c>
      <c r="D138" s="102">
        <f>'analyse import'!I139</f>
        <v>0</v>
      </c>
      <c r="E138" s="285" t="str">
        <f>IF(C138+D138&gt;0,'analyse import'!H139*10/omrekenen!J$3,"")</f>
        <v/>
      </c>
      <c r="F138" s="286" t="str">
        <f>IF(D138+C138&gt;0,'analyse import'!I139*10/omrekenen!K$3,"")</f>
        <v/>
      </c>
      <c r="G138" s="287" t="str">
        <f>IF(C138+D138&gt;0,(E138+F138)/'analyse import'!K139,"")</f>
        <v/>
      </c>
      <c r="H138" s="56" t="str">
        <f t="shared" si="87"/>
        <v/>
      </c>
      <c r="I138" s="56" t="str">
        <f t="shared" si="88"/>
        <v/>
      </c>
      <c r="J138" s="56" t="str">
        <f t="shared" si="89"/>
        <v/>
      </c>
      <c r="K138" s="56" t="str">
        <f t="shared" si="90"/>
        <v/>
      </c>
      <c r="L138" s="56" t="str">
        <f t="shared" si="91"/>
        <v/>
      </c>
      <c r="M138" s="56" t="s">
        <v>220</v>
      </c>
      <c r="N138" s="56" t="str">
        <f t="shared" si="92"/>
        <v/>
      </c>
      <c r="O138" s="56" t="s">
        <v>220</v>
      </c>
      <c r="P138" s="56" t="str">
        <f>IF($C138+D138&gt;0,IF($G138&gt;AC138,"X","-"),"")</f>
        <v/>
      </c>
      <c r="Q138" s="56" t="str">
        <f>IF($C138+D138&gt;0,IF($G138&gt;AD138,"X","-"),"")</f>
        <v/>
      </c>
      <c r="R138" s="56" t="s">
        <v>220</v>
      </c>
      <c r="S138" s="56" t="s">
        <v>220</v>
      </c>
      <c r="T138" s="34" t="str">
        <f t="shared" si="93"/>
        <v/>
      </c>
      <c r="V138" s="12">
        <v>7.0000000000000007E-2</v>
      </c>
      <c r="W138" s="12">
        <v>7.0000000000000007E-2</v>
      </c>
      <c r="X138" s="12">
        <v>10</v>
      </c>
      <c r="Y138" s="12">
        <v>23</v>
      </c>
      <c r="AA138" s="12">
        <f>V138</f>
        <v>7.0000000000000007E-2</v>
      </c>
      <c r="AC138" s="12">
        <v>10</v>
      </c>
      <c r="AD138" s="12">
        <f>AC138</f>
        <v>10</v>
      </c>
      <c r="AF138" s="12"/>
      <c r="AG138" s="12">
        <f>IF(V138+W138&gt;X138,X138,V138+W138)</f>
        <v>0.14000000000000001</v>
      </c>
      <c r="AH138" s="90">
        <f>(V138+Y138)/2</f>
        <v>11.535</v>
      </c>
      <c r="AI138" s="99">
        <f>'analyse import'!J139</f>
        <v>0</v>
      </c>
      <c r="AK138" s="12">
        <f t="shared" si="60"/>
        <v>0</v>
      </c>
    </row>
    <row r="139" spans="1:37">
      <c r="C139" s="12"/>
      <c r="D139" s="12"/>
      <c r="E139" s="276"/>
      <c r="F139" s="277"/>
      <c r="G139" s="71"/>
      <c r="N139" s="56" t="str">
        <f t="shared" ref="N139" si="94">IF($C139&gt;0,IF($G139&gt;AA139,"X","-"),"")</f>
        <v/>
      </c>
      <c r="AF139" s="12"/>
      <c r="AI139" s="99">
        <v>0</v>
      </c>
      <c r="AK139" s="12"/>
    </row>
    <row r="140" spans="1:37">
      <c r="A140" s="32">
        <v>6</v>
      </c>
      <c r="B140" s="32" t="s">
        <v>111</v>
      </c>
      <c r="C140" s="33" t="s">
        <v>5</v>
      </c>
      <c r="D140" s="33" t="s">
        <v>5</v>
      </c>
      <c r="E140" s="273" t="s">
        <v>5</v>
      </c>
      <c r="F140" s="274" t="s">
        <v>5</v>
      </c>
      <c r="G140" s="72" t="s">
        <v>5</v>
      </c>
      <c r="H140" s="33" t="s">
        <v>229</v>
      </c>
      <c r="I140" s="33" t="s">
        <v>228</v>
      </c>
      <c r="J140" s="33" t="s">
        <v>227</v>
      </c>
      <c r="K140" s="33" t="s">
        <v>232</v>
      </c>
      <c r="L140" s="33" t="s">
        <v>267</v>
      </c>
      <c r="M140" s="33" t="s">
        <v>234</v>
      </c>
      <c r="N140" s="33" t="s">
        <v>230</v>
      </c>
      <c r="O140" s="33" t="s">
        <v>170</v>
      </c>
      <c r="P140" s="33" t="s">
        <v>171</v>
      </c>
      <c r="Q140" s="33" t="s">
        <v>231</v>
      </c>
      <c r="R140" s="33" t="s">
        <v>233</v>
      </c>
      <c r="S140" s="33" t="s">
        <v>185</v>
      </c>
      <c r="T140" s="116" t="s">
        <v>272</v>
      </c>
      <c r="V140" s="283" t="s">
        <v>198</v>
      </c>
      <c r="W140" s="283" t="s">
        <v>169</v>
      </c>
      <c r="X140" s="283" t="s">
        <v>279</v>
      </c>
      <c r="Y140" s="283" t="s">
        <v>173</v>
      </c>
      <c r="Z140" s="283" t="s">
        <v>174</v>
      </c>
      <c r="AA140" s="283"/>
      <c r="AB140" s="283" t="s">
        <v>170</v>
      </c>
      <c r="AC140" s="283" t="s">
        <v>171</v>
      </c>
      <c r="AD140" s="283" t="s">
        <v>172</v>
      </c>
      <c r="AE140" s="283" t="s">
        <v>175</v>
      </c>
      <c r="AF140" s="283" t="s">
        <v>185</v>
      </c>
      <c r="AG140" s="251"/>
      <c r="AH140" s="251"/>
      <c r="AI140" s="99">
        <f>IF(AI141=1,1,IF(AI165=1,1,IF(AI168=1,1,IF(AI174=1,1,IF(AI177=1,1,0)))))</f>
        <v>0</v>
      </c>
      <c r="AK140" s="12"/>
    </row>
    <row r="141" spans="1:37" s="29" customFormat="1">
      <c r="A141" s="37" t="s">
        <v>65</v>
      </c>
      <c r="B141" s="38" t="s">
        <v>91</v>
      </c>
      <c r="E141" s="270"/>
      <c r="F141" s="258"/>
      <c r="G141" s="280"/>
      <c r="H141" s="56" t="str">
        <f t="shared" ref="H141:H145" si="95">IF($C141+$D141&gt;0,IF($G141&gt;2*V141,"2x",IF($G141&gt;V141,"X","-")),"")</f>
        <v/>
      </c>
      <c r="I141" s="56" t="str">
        <f t="shared" ref="I141:I145" si="96">IF($C141+D141&gt;0,IF($G141&gt;AG141,"@",IF(G141&gt;W141,"X","-")),"")</f>
        <v/>
      </c>
      <c r="J141" s="56" t="str">
        <f t="shared" ref="J141:J145" si="97">IF($C141+D141&gt;0,IF($G141&gt;X141,"X","-"),"")</f>
        <v/>
      </c>
      <c r="K141" s="56" t="str">
        <f t="shared" ref="K141:K145" si="98">IF($C141+D141&gt;0,IF($G141&gt;Y141,"X","-"),"")</f>
        <v/>
      </c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12"/>
      <c r="AI141" s="99">
        <f>IF(SUM(AI142:AI163)&gt;0,1,0)</f>
        <v>0</v>
      </c>
      <c r="AK141" s="12"/>
    </row>
    <row r="142" spans="1:37">
      <c r="B142" s="11" t="s">
        <v>214</v>
      </c>
      <c r="C142" s="102">
        <f>'analyse import'!H143</f>
        <v>0</v>
      </c>
      <c r="D142" s="102">
        <f>'analyse import'!I143</f>
        <v>0</v>
      </c>
      <c r="E142" s="285" t="str">
        <f>IF(C142+D142&gt;0,'analyse import'!H143*10/omrekenen!J$3,"")</f>
        <v/>
      </c>
      <c r="F142" s="286" t="str">
        <f>IF(D142+C142&gt;0,'analyse import'!I143*10/omrekenen!K$3,"")</f>
        <v/>
      </c>
      <c r="G142" s="287" t="str">
        <f>IF(C142+D142&gt;0,(E142+F142)/'analyse import'!K143,"")</f>
        <v/>
      </c>
      <c r="H142" s="56" t="str">
        <f t="shared" si="95"/>
        <v/>
      </c>
      <c r="I142" s="56" t="str">
        <f t="shared" si="96"/>
        <v/>
      </c>
      <c r="J142" s="56" t="str">
        <f t="shared" si="97"/>
        <v/>
      </c>
      <c r="K142" s="56" t="str">
        <f t="shared" si="98"/>
        <v/>
      </c>
      <c r="L142" s="56" t="str">
        <f t="shared" ref="L142:L145" si="99">IF($C142+D142&gt;0,IF($G142&gt;AH142,"X","-"),"")</f>
        <v/>
      </c>
      <c r="M142" s="56" t="s">
        <v>220</v>
      </c>
      <c r="N142" s="56" t="str">
        <f>IF($C142+D142&gt;0,IF($G142&gt;AA142,"X","-"),"")</f>
        <v/>
      </c>
      <c r="O142" s="56" t="s">
        <v>220</v>
      </c>
      <c r="P142" s="56" t="str">
        <f>IF($C142+D142&gt;0,IF($G142&gt;AC142,"X","-"),"")</f>
        <v/>
      </c>
      <c r="Q142" s="56" t="str">
        <f>IF($C142+D142&gt;0,IF($G142&gt;AD142,"X","-"),"")</f>
        <v/>
      </c>
      <c r="R142" s="56" t="s">
        <v>220</v>
      </c>
      <c r="S142" s="56" t="s">
        <v>220</v>
      </c>
      <c r="T142" s="34" t="str">
        <f t="shared" ref="T142:T163" si="100">IF(C142*D142&gt;0,MAX(C142:D142)/MIN(C142:D142),"")</f>
        <v/>
      </c>
      <c r="V142" s="12">
        <f>IF(E142=0.0014,E142*10/omrekenen!J3,0.002)</f>
        <v>2E-3</v>
      </c>
      <c r="W142" s="12">
        <f>V142</f>
        <v>2E-3</v>
      </c>
      <c r="X142" s="12">
        <v>0.1</v>
      </c>
      <c r="Y142" s="12">
        <v>4</v>
      </c>
      <c r="AA142" s="12">
        <f>V142</f>
        <v>2E-3</v>
      </c>
      <c r="AC142" s="12">
        <v>4</v>
      </c>
      <c r="AD142" s="12">
        <f>AC142</f>
        <v>4</v>
      </c>
      <c r="AF142" s="12"/>
      <c r="AG142" s="12">
        <v>1.4E-2</v>
      </c>
      <c r="AH142" s="142">
        <v>2</v>
      </c>
      <c r="AI142" s="99">
        <f>'analyse import'!J143</f>
        <v>0</v>
      </c>
      <c r="AK142" s="12">
        <f t="shared" si="60"/>
        <v>0</v>
      </c>
    </row>
    <row r="143" spans="1:37">
      <c r="B143" s="11" t="s">
        <v>92</v>
      </c>
      <c r="C143" s="102">
        <f>'analyse import'!H144</f>
        <v>0</v>
      </c>
      <c r="D143" s="102">
        <f>'analyse import'!I144</f>
        <v>0</v>
      </c>
      <c r="E143" s="285" t="str">
        <f>IF(C143+D143&gt;0,'analyse import'!H144*10/omrekenen!J$3,"")</f>
        <v/>
      </c>
      <c r="F143" s="286" t="str">
        <f>IF(D143+C143&gt;0,'analyse import'!I144*10/omrekenen!K$3,"")</f>
        <v/>
      </c>
      <c r="G143" s="287" t="str">
        <f>IF(C143+D143&gt;0,(E143+F143)/'analyse import'!K144,"")</f>
        <v/>
      </c>
      <c r="H143" s="56" t="str">
        <f t="shared" si="95"/>
        <v/>
      </c>
      <c r="I143" s="56" t="str">
        <f t="shared" si="96"/>
        <v/>
      </c>
      <c r="J143" s="56" t="str">
        <f t="shared" si="97"/>
        <v/>
      </c>
      <c r="K143" s="56" t="str">
        <f t="shared" si="98"/>
        <v/>
      </c>
      <c r="L143" s="56" t="str">
        <f t="shared" si="99"/>
        <v/>
      </c>
      <c r="M143" s="56" t="s">
        <v>220</v>
      </c>
      <c r="N143" s="56" t="s">
        <v>220</v>
      </c>
      <c r="O143" s="56" t="s">
        <v>220</v>
      </c>
      <c r="P143" s="56" t="s">
        <v>220</v>
      </c>
      <c r="Q143" s="56" t="s">
        <v>220</v>
      </c>
      <c r="R143" s="56" t="s">
        <v>220</v>
      </c>
      <c r="S143" s="56" t="s">
        <v>220</v>
      </c>
      <c r="T143" s="34" t="str">
        <f t="shared" si="100"/>
        <v/>
      </c>
      <c r="V143" s="12">
        <v>0.2</v>
      </c>
      <c r="W143" s="12">
        <v>0.2</v>
      </c>
      <c r="X143" s="12">
        <v>1</v>
      </c>
      <c r="Y143" s="12">
        <v>1.7</v>
      </c>
      <c r="AF143" s="12"/>
      <c r="AG143" s="12">
        <f>IF(V143+W143&gt;X143,X143,V143+W143)</f>
        <v>0.4</v>
      </c>
      <c r="AH143" s="142">
        <f>(V143+Y143)/2</f>
        <v>0.95</v>
      </c>
      <c r="AI143" s="99">
        <f>'analyse import'!J144</f>
        <v>0</v>
      </c>
      <c r="AK143" s="12">
        <f t="shared" si="60"/>
        <v>0</v>
      </c>
    </row>
    <row r="144" spans="1:37">
      <c r="B144" s="11" t="s">
        <v>93</v>
      </c>
      <c r="C144" s="102">
        <f>'analyse import'!H145</f>
        <v>0</v>
      </c>
      <c r="D144" s="102">
        <f>'analyse import'!I145</f>
        <v>0</v>
      </c>
      <c r="E144" s="285" t="str">
        <f>IF(C144+D144&gt;0,'analyse import'!H145*10/omrekenen!J$3,"")</f>
        <v/>
      </c>
      <c r="F144" s="286" t="str">
        <f>IF(D144+C144&gt;0,'analyse import'!I145*10/omrekenen!K$3,"")</f>
        <v/>
      </c>
      <c r="G144" s="287" t="str">
        <f>IF(C144+D144&gt;0,(E144+F144)/'analyse import'!K145,"")</f>
        <v/>
      </c>
      <c r="H144" s="56" t="str">
        <f t="shared" si="95"/>
        <v/>
      </c>
      <c r="I144" s="56" t="str">
        <f t="shared" si="96"/>
        <v/>
      </c>
      <c r="J144" s="56" t="str">
        <f t="shared" si="97"/>
        <v/>
      </c>
      <c r="K144" s="56" t="str">
        <f t="shared" si="98"/>
        <v/>
      </c>
      <c r="L144" s="56" t="str">
        <f t="shared" si="99"/>
        <v/>
      </c>
      <c r="M144" s="56" t="s">
        <v>220</v>
      </c>
      <c r="N144" s="56" t="s">
        <v>220</v>
      </c>
      <c r="O144" s="56" t="s">
        <v>220</v>
      </c>
      <c r="P144" s="56" t="s">
        <v>220</v>
      </c>
      <c r="Q144" s="56" t="s">
        <v>220</v>
      </c>
      <c r="R144" s="56" t="s">
        <v>220</v>
      </c>
      <c r="S144" s="56" t="s">
        <v>220</v>
      </c>
      <c r="T144" s="34" t="str">
        <f t="shared" si="100"/>
        <v/>
      </c>
      <c r="V144" s="12">
        <v>0.1</v>
      </c>
      <c r="W144" s="12">
        <v>0.13</v>
      </c>
      <c r="X144" s="12">
        <v>1.3</v>
      </c>
      <c r="Y144" s="12">
        <v>2.2999999999999998</v>
      </c>
      <c r="AF144" s="12"/>
      <c r="AG144" s="12">
        <f>IF(V144+W144&gt;X144,X144,V144+W144)</f>
        <v>0.23</v>
      </c>
      <c r="AH144" s="142">
        <f>(V144+Y144)/2</f>
        <v>1.2</v>
      </c>
      <c r="AI144" s="99">
        <f>'analyse import'!J145</f>
        <v>0</v>
      </c>
      <c r="AK144" s="12">
        <f t="shared" si="60"/>
        <v>0</v>
      </c>
    </row>
    <row r="145" spans="2:37">
      <c r="B145" s="11" t="s">
        <v>94</v>
      </c>
      <c r="C145" s="102">
        <f>'analyse import'!H146</f>
        <v>0</v>
      </c>
      <c r="D145" s="102">
        <f>'analyse import'!I146</f>
        <v>0</v>
      </c>
      <c r="E145" s="285" t="str">
        <f>IF(C145+D145&gt;0,'analyse import'!H146*10/omrekenen!J$3,"")</f>
        <v/>
      </c>
      <c r="F145" s="286" t="str">
        <f>IF(D145+C145&gt;0,'analyse import'!I146*10/omrekenen!K$3,"")</f>
        <v/>
      </c>
      <c r="G145" s="287" t="str">
        <f>IF(C145+D145&gt;0,(E145+F145)/'analyse import'!K146,"")</f>
        <v/>
      </c>
      <c r="H145" s="56" t="str">
        <f t="shared" si="95"/>
        <v/>
      </c>
      <c r="I145" s="56" t="str">
        <f t="shared" si="96"/>
        <v/>
      </c>
      <c r="J145" s="56" t="str">
        <f t="shared" si="97"/>
        <v/>
      </c>
      <c r="K145" s="56" t="str">
        <f t="shared" si="98"/>
        <v/>
      </c>
      <c r="L145" s="56" t="str">
        <f t="shared" si="99"/>
        <v/>
      </c>
      <c r="M145" s="56" t="s">
        <v>220</v>
      </c>
      <c r="N145" s="56" t="s">
        <v>220</v>
      </c>
      <c r="O145" s="56" t="s">
        <v>220</v>
      </c>
      <c r="P145" s="56" t="s">
        <v>220</v>
      </c>
      <c r="Q145" s="56" t="s">
        <v>220</v>
      </c>
      <c r="R145" s="56" t="s">
        <v>220</v>
      </c>
      <c r="S145" s="56" t="s">
        <v>220</v>
      </c>
      <c r="T145" s="34" t="str">
        <f t="shared" si="100"/>
        <v/>
      </c>
      <c r="V145" s="12">
        <v>0.02</v>
      </c>
      <c r="W145" s="12">
        <v>0.84</v>
      </c>
      <c r="X145" s="12">
        <v>34</v>
      </c>
      <c r="Y145" s="12">
        <v>34</v>
      </c>
      <c r="AF145" s="12"/>
      <c r="AG145" s="12">
        <f>IF(V145+W145&gt;X145,X145,V145+W145)</f>
        <v>0.86</v>
      </c>
      <c r="AH145" s="142">
        <v>17.010000000000002</v>
      </c>
      <c r="AI145" s="99">
        <f>'analyse import'!J146</f>
        <v>0</v>
      </c>
      <c r="AK145" s="12">
        <f t="shared" si="60"/>
        <v>0</v>
      </c>
    </row>
    <row r="146" spans="2:37">
      <c r="B146" s="11" t="s">
        <v>95</v>
      </c>
      <c r="C146" s="102">
        <f>'analyse import'!H147</f>
        <v>0</v>
      </c>
      <c r="D146" s="102">
        <f>'analyse import'!I147</f>
        <v>0</v>
      </c>
      <c r="E146" s="285" t="str">
        <f>IF(C146+D146&gt;0,'analyse import'!H147*10/omrekenen!J$3,"")</f>
        <v/>
      </c>
      <c r="F146" s="286" t="str">
        <f>IF(D146+C146&gt;0,'analyse import'!I147*10/omrekenen!K$3,"")</f>
        <v/>
      </c>
      <c r="G146" s="287" t="str">
        <f>IF(C146+D146&gt;0,(E146+F146)/'analyse import'!K147,"")</f>
        <v/>
      </c>
      <c r="H146" s="56" t="s">
        <v>220</v>
      </c>
      <c r="I146" s="56" t="s">
        <v>220</v>
      </c>
      <c r="J146" s="56" t="s">
        <v>220</v>
      </c>
      <c r="K146" s="56" t="s">
        <v>220</v>
      </c>
      <c r="L146" s="56" t="s">
        <v>220</v>
      </c>
      <c r="M146" s="56" t="s">
        <v>220</v>
      </c>
      <c r="N146" s="56" t="str">
        <f t="shared" ref="N146:N152" si="101">IF($C146+D146&gt;0,IF($G146&gt;AA146,"X","-"),"")</f>
        <v/>
      </c>
      <c r="O146" s="56" t="str">
        <f t="shared" ref="O146:O149" si="102">IF($C146+D146&gt;0,IF($G146&gt;AB146,"X","-"),"")</f>
        <v/>
      </c>
      <c r="P146" s="56" t="str">
        <f>IF($C146+D146&gt;0,IF($G146&gt;AC146,"X","-"),"")</f>
        <v/>
      </c>
      <c r="Q146" s="56" t="str">
        <f>IF($C146+D146&gt;0,IF($G146&gt;AD146,"X","-"),"")</f>
        <v/>
      </c>
      <c r="R146" s="56" t="s">
        <v>220</v>
      </c>
      <c r="S146" s="56" t="str">
        <f>IF($C146+D146&gt;0,IF($G146&gt;AF146,"X","-"),"")</f>
        <v/>
      </c>
      <c r="T146" s="34" t="str">
        <f t="shared" si="100"/>
        <v/>
      </c>
      <c r="AA146" s="12">
        <v>0.3</v>
      </c>
      <c r="AB146" s="12">
        <v>0.3</v>
      </c>
      <c r="AC146" s="12">
        <v>4</v>
      </c>
      <c r="AD146" s="12">
        <f>AC146</f>
        <v>4</v>
      </c>
      <c r="AF146" s="12">
        <v>0.02</v>
      </c>
      <c r="AH146" s="142"/>
      <c r="AI146" s="99">
        <f>'analyse import'!J147</f>
        <v>0</v>
      </c>
      <c r="AK146" s="12">
        <f t="shared" si="60"/>
        <v>0</v>
      </c>
    </row>
    <row r="147" spans="2:37">
      <c r="B147" s="11" t="s">
        <v>181</v>
      </c>
      <c r="C147" s="102">
        <f>'analyse import'!H148</f>
        <v>0</v>
      </c>
      <c r="D147" s="102">
        <f>'analyse import'!I148</f>
        <v>0</v>
      </c>
      <c r="E147" s="285" t="str">
        <f>IF(C147+D147&gt;0,'analyse import'!H148*10/omrekenen!J$3,"")</f>
        <v/>
      </c>
      <c r="F147" s="286" t="str">
        <f>IF(D147+C147&gt;0,'analyse import'!I148*10/omrekenen!K$3,"")</f>
        <v/>
      </c>
      <c r="G147" s="287" t="str">
        <f>IF(C147+D147&gt;0,(E147+F147)/'analyse import'!K148,"")</f>
        <v/>
      </c>
      <c r="H147" s="56" t="s">
        <v>220</v>
      </c>
      <c r="I147" s="56" t="s">
        <v>220</v>
      </c>
      <c r="J147" s="56" t="s">
        <v>220</v>
      </c>
      <c r="K147" s="56" t="str">
        <f>IF($C147+D147&gt;0,IF($G147&gt;Y147,"X","-"),"")</f>
        <v/>
      </c>
      <c r="L147" s="56" t="str">
        <f>IF($C147+D147&gt;0,IF($G147&gt;AH147,"X","-"),"")</f>
        <v/>
      </c>
      <c r="M147" s="56" t="s">
        <v>220</v>
      </c>
      <c r="N147" s="56" t="str">
        <f t="shared" si="101"/>
        <v/>
      </c>
      <c r="O147" s="56" t="str">
        <f t="shared" si="102"/>
        <v/>
      </c>
      <c r="P147" s="56" t="s">
        <v>220</v>
      </c>
      <c r="Q147" s="56" t="s">
        <v>220</v>
      </c>
      <c r="R147" s="56" t="s">
        <v>220</v>
      </c>
      <c r="S147" s="56" t="s">
        <v>220</v>
      </c>
      <c r="T147" s="34" t="str">
        <f t="shared" si="100"/>
        <v/>
      </c>
      <c r="Y147" s="12">
        <v>0.32</v>
      </c>
      <c r="AA147" s="414">
        <f>IF(AVERAGE(C147:D147)&gt;0.0007,0.0008,0.0035)</f>
        <v>3.5000000000000001E-3</v>
      </c>
      <c r="AB147" s="414">
        <f>IF(AVERAGE(C147:D147)&gt;0.0007,0.0013,0.0035)</f>
        <v>3.5000000000000001E-3</v>
      </c>
      <c r="AF147" s="12"/>
      <c r="AH147" s="142">
        <v>0.16</v>
      </c>
      <c r="AI147" s="99">
        <f>'analyse import'!J148</f>
        <v>0</v>
      </c>
      <c r="AK147" s="12">
        <f t="shared" si="60"/>
        <v>0</v>
      </c>
    </row>
    <row r="148" spans="2:37">
      <c r="B148" s="11" t="s">
        <v>96</v>
      </c>
      <c r="C148" s="102">
        <f>'analyse import'!H149</f>
        <v>0</v>
      </c>
      <c r="D148" s="102">
        <f>'analyse import'!I149</f>
        <v>0</v>
      </c>
      <c r="E148" s="285" t="str">
        <f>IF(C148+D148&gt;0,'analyse import'!H149*10/omrekenen!J$3,"")</f>
        <v/>
      </c>
      <c r="F148" s="286" t="str">
        <f>IF(D148+C148&gt;0,'analyse import'!I149*10/omrekenen!K$3,"")</f>
        <v/>
      </c>
      <c r="G148" s="287" t="str">
        <f>IF(C148+D148&gt;0,(E148+F148)/'analyse import'!K149,"")</f>
        <v/>
      </c>
      <c r="H148" s="56" t="s">
        <v>220</v>
      </c>
      <c r="I148" s="56" t="s">
        <v>220</v>
      </c>
      <c r="J148" s="56" t="s">
        <v>220</v>
      </c>
      <c r="K148" s="56" t="s">
        <v>220</v>
      </c>
      <c r="L148" s="56" t="s">
        <v>220</v>
      </c>
      <c r="M148" s="56" t="s">
        <v>220</v>
      </c>
      <c r="N148" s="56" t="str">
        <f t="shared" si="101"/>
        <v/>
      </c>
      <c r="O148" s="56" t="str">
        <f t="shared" si="102"/>
        <v/>
      </c>
      <c r="P148" s="56" t="s">
        <v>220</v>
      </c>
      <c r="Q148" s="56" t="s">
        <v>220</v>
      </c>
      <c r="R148" s="56" t="s">
        <v>220</v>
      </c>
      <c r="S148" s="56" t="s">
        <v>220</v>
      </c>
      <c r="T148" s="34" t="str">
        <f t="shared" si="100"/>
        <v/>
      </c>
      <c r="AA148" s="30">
        <v>8.0000000000000002E-3</v>
      </c>
      <c r="AB148" s="30">
        <v>8.0000000000000002E-3</v>
      </c>
      <c r="AF148" s="12"/>
      <c r="AH148" s="142"/>
      <c r="AI148" s="99">
        <f>'analyse import'!J149</f>
        <v>0</v>
      </c>
      <c r="AK148" s="12">
        <f t="shared" si="60"/>
        <v>0</v>
      </c>
    </row>
    <row r="149" spans="2:37">
      <c r="B149" s="11" t="s">
        <v>97</v>
      </c>
      <c r="C149" s="102">
        <f>'analyse import'!H150</f>
        <v>0</v>
      </c>
      <c r="D149" s="102">
        <f>'analyse import'!I150</f>
        <v>0</v>
      </c>
      <c r="E149" s="285" t="str">
        <f>IF(C149+D149&gt;0,'analyse import'!H150*10/omrekenen!J$3,"")</f>
        <v/>
      </c>
      <c r="F149" s="286" t="str">
        <f>IF(D149+C149&gt;0,'analyse import'!I150*10/omrekenen!K$3,"")</f>
        <v/>
      </c>
      <c r="G149" s="287" t="str">
        <f>IF(C149+D149&gt;0,(E149+F149)/'analyse import'!K150,"")</f>
        <v/>
      </c>
      <c r="H149" s="56" t="s">
        <v>220</v>
      </c>
      <c r="I149" s="56" t="s">
        <v>220</v>
      </c>
      <c r="J149" s="56" t="s">
        <v>220</v>
      </c>
      <c r="K149" s="56" t="s">
        <v>220</v>
      </c>
      <c r="L149" s="56" t="s">
        <v>220</v>
      </c>
      <c r="M149" s="56" t="s">
        <v>220</v>
      </c>
      <c r="N149" s="56" t="str">
        <f t="shared" si="101"/>
        <v/>
      </c>
      <c r="O149" s="56" t="str">
        <f t="shared" si="102"/>
        <v/>
      </c>
      <c r="P149" s="56" t="s">
        <v>220</v>
      </c>
      <c r="Q149" s="56" t="s">
        <v>220</v>
      </c>
      <c r="R149" s="56" t="s">
        <v>220</v>
      </c>
      <c r="S149" s="56" t="s">
        <v>220</v>
      </c>
      <c r="T149" s="34" t="str">
        <f t="shared" si="100"/>
        <v/>
      </c>
      <c r="AA149" s="12">
        <v>3.5000000000000001E-3</v>
      </c>
      <c r="AB149" s="12">
        <v>3.5000000000000001E-3</v>
      </c>
      <c r="AF149" s="12"/>
      <c r="AH149" s="142"/>
      <c r="AI149" s="99">
        <f>'analyse import'!J150</f>
        <v>0</v>
      </c>
      <c r="AK149" s="12">
        <f t="shared" si="60"/>
        <v>0</v>
      </c>
    </row>
    <row r="150" spans="2:37">
      <c r="B150" s="11" t="s">
        <v>98</v>
      </c>
      <c r="C150" s="102">
        <f>'analyse import'!H151</f>
        <v>0</v>
      </c>
      <c r="D150" s="102">
        <f>'analyse import'!I151</f>
        <v>0</v>
      </c>
      <c r="E150" s="285" t="str">
        <f>IF(C150+D150&gt;0,'analyse import'!H151*10/omrekenen!J$3,"")</f>
        <v/>
      </c>
      <c r="F150" s="286" t="str">
        <f>IF(D150+C150&gt;0,'analyse import'!I151*10/omrekenen!K$3,"")</f>
        <v/>
      </c>
      <c r="G150" s="287" t="str">
        <f>IF(C150+D150&gt;0,(E150+F150)/'analyse import'!K151,"")</f>
        <v/>
      </c>
      <c r="H150" s="56" t="s">
        <v>220</v>
      </c>
      <c r="I150" s="56" t="s">
        <v>220</v>
      </c>
      <c r="J150" s="56" t="s">
        <v>220</v>
      </c>
      <c r="K150" s="56" t="s">
        <v>220</v>
      </c>
      <c r="L150" s="56" t="s">
        <v>220</v>
      </c>
      <c r="M150" s="56" t="s">
        <v>220</v>
      </c>
      <c r="N150" s="56" t="str">
        <f t="shared" si="101"/>
        <v/>
      </c>
      <c r="O150" s="56" t="s">
        <v>220</v>
      </c>
      <c r="P150" s="56" t="s">
        <v>220</v>
      </c>
      <c r="Q150" s="56" t="s">
        <v>220</v>
      </c>
      <c r="R150" s="56" t="s">
        <v>220</v>
      </c>
      <c r="S150" s="56" t="s">
        <v>220</v>
      </c>
      <c r="T150" s="34" t="str">
        <f t="shared" si="100"/>
        <v/>
      </c>
      <c r="AA150" s="414">
        <f>IF(AVERAGE(C150:D150)&gt;0.0007,0.001,0.0035)</f>
        <v>3.5000000000000001E-3</v>
      </c>
      <c r="AF150" s="12"/>
      <c r="AH150" s="142"/>
      <c r="AI150" s="99">
        <f>'analyse import'!J151</f>
        <v>0</v>
      </c>
      <c r="AK150" s="12">
        <f t="shared" si="60"/>
        <v>0</v>
      </c>
    </row>
    <row r="151" spans="2:37">
      <c r="B151" s="11" t="s">
        <v>99</v>
      </c>
      <c r="C151" s="102">
        <f>'analyse import'!H152</f>
        <v>0</v>
      </c>
      <c r="D151" s="102">
        <f>'analyse import'!I152</f>
        <v>0</v>
      </c>
      <c r="E151" s="285" t="str">
        <f>IF(C151+D151&gt;0,'analyse import'!H152*10/omrekenen!J$3,"")</f>
        <v/>
      </c>
      <c r="F151" s="286" t="str">
        <f>IF(D151+C151&gt;0,'analyse import'!I152*10/omrekenen!K$3,"")</f>
        <v/>
      </c>
      <c r="G151" s="287" t="str">
        <f>IF(C151+D151&gt;0,(E151+F151)/'analyse import'!K152,"")</f>
        <v/>
      </c>
      <c r="H151" s="56" t="s">
        <v>220</v>
      </c>
      <c r="I151" s="56" t="s">
        <v>220</v>
      </c>
      <c r="J151" s="56" t="s">
        <v>220</v>
      </c>
      <c r="K151" s="56" t="s">
        <v>220</v>
      </c>
      <c r="L151" s="56" t="s">
        <v>220</v>
      </c>
      <c r="M151" s="56" t="s">
        <v>220</v>
      </c>
      <c r="N151" s="56" t="str">
        <f t="shared" si="101"/>
        <v/>
      </c>
      <c r="O151" s="56" t="s">
        <v>220</v>
      </c>
      <c r="P151" s="56" t="s">
        <v>220</v>
      </c>
      <c r="Q151" s="56" t="s">
        <v>220</v>
      </c>
      <c r="R151" s="56" t="s">
        <v>220</v>
      </c>
      <c r="S151" s="56" t="s">
        <v>220</v>
      </c>
      <c r="T151" s="34" t="str">
        <f t="shared" si="100"/>
        <v/>
      </c>
      <c r="AA151" s="414">
        <f>IF(AVERAGE(C151:D151)&gt;0.0007,0.00005,0.0035)</f>
        <v>3.5000000000000001E-3</v>
      </c>
      <c r="AF151" s="12"/>
      <c r="AH151" s="142"/>
      <c r="AI151" s="99">
        <f>'analyse import'!J152</f>
        <v>0</v>
      </c>
      <c r="AK151" s="12">
        <f t="shared" si="60"/>
        <v>0</v>
      </c>
    </row>
    <row r="152" spans="2:37">
      <c r="B152" s="11" t="s">
        <v>337</v>
      </c>
      <c r="C152" s="102">
        <f>'analyse import'!H153</f>
        <v>0</v>
      </c>
      <c r="D152" s="102">
        <f>'analyse import'!I153</f>
        <v>0</v>
      </c>
      <c r="E152" s="285" t="str">
        <f>IF(C152+D152&gt;0,'analyse import'!H153*10/omrekenen!J$3,"")</f>
        <v/>
      </c>
      <c r="F152" s="286" t="str">
        <f>IF(D152+C152&gt;0,'analyse import'!I153*10/omrekenen!K$3,"")</f>
        <v/>
      </c>
      <c r="G152" s="287" t="str">
        <f>IF(C152+D152&gt;0,(E152+F152)/'analyse import'!K153,"")</f>
        <v/>
      </c>
      <c r="H152" s="56" t="str">
        <f>IF($C152+$D152&gt;0,IF($G152&gt;2*V152,"2x",IF($G152&gt;V152,"X","-")),"")</f>
        <v/>
      </c>
      <c r="I152" s="56" t="str">
        <f>IF($C152+D152&gt;0,IF($G152&gt;AG152,"@",IF(G152&gt;W152,"X","-")),"")</f>
        <v/>
      </c>
      <c r="J152" s="56" t="str">
        <f>IF($C152+D152&gt;0,IF($G152&gt;X152,"X","-"),"")</f>
        <v/>
      </c>
      <c r="K152" s="56" t="str">
        <f>IF($C152+D152&gt;0,IF($G152&gt;Y152,"X","-"),"")</f>
        <v/>
      </c>
      <c r="L152" s="56" t="str">
        <f>IF($C152+D152&gt;0,IF($G152&gt;AH152,"X","-"),"")</f>
        <v/>
      </c>
      <c r="M152" s="56" t="s">
        <v>220</v>
      </c>
      <c r="N152" s="56" t="str">
        <f t="shared" si="101"/>
        <v/>
      </c>
      <c r="O152" s="56" t="str">
        <f>IF($C152+D152&gt;0,IF($G152&gt;AB152,"X","-"),"")</f>
        <v/>
      </c>
      <c r="P152" s="56" t="str">
        <f>IF($C152+D152&gt;0,IF($G152&gt;AC152,"X","-"),"")</f>
        <v/>
      </c>
      <c r="Q152" s="56" t="str">
        <f>IF($C152+D152&gt;0,IF($G152&gt;AD152,"X","-"),"")</f>
        <v/>
      </c>
      <c r="R152" s="56" t="s">
        <v>220</v>
      </c>
      <c r="S152" s="56" t="s">
        <v>220</v>
      </c>
      <c r="T152" s="34" t="str">
        <f t="shared" si="100"/>
        <v/>
      </c>
      <c r="V152" s="12">
        <v>1.4999999999999999E-2</v>
      </c>
      <c r="W152" s="12">
        <v>0.04</v>
      </c>
      <c r="X152" s="12">
        <v>0.14000000000000001</v>
      </c>
      <c r="Y152" s="12">
        <v>4</v>
      </c>
      <c r="AA152" s="12">
        <v>1.4999999999999999E-2</v>
      </c>
      <c r="AB152" s="12">
        <v>1.4999999999999999E-2</v>
      </c>
      <c r="AC152" s="12">
        <v>4</v>
      </c>
      <c r="AD152" s="12">
        <f>AC152</f>
        <v>4</v>
      </c>
      <c r="AF152" s="12"/>
      <c r="AG152" s="12">
        <f>IF(V152+W152&gt;X152,X152,V152+W152)</f>
        <v>5.5E-2</v>
      </c>
      <c r="AH152" s="142">
        <f>0.1415/2</f>
        <v>7.0749999999999993E-2</v>
      </c>
      <c r="AI152" s="99">
        <f>'analyse import'!J153</f>
        <v>0</v>
      </c>
      <c r="AK152" s="12">
        <f t="shared" si="60"/>
        <v>0</v>
      </c>
    </row>
    <row r="153" spans="2:37">
      <c r="B153" s="11" t="s">
        <v>100</v>
      </c>
      <c r="C153" s="102">
        <f>'analyse import'!H154</f>
        <v>0</v>
      </c>
      <c r="D153" s="102">
        <f>'analyse import'!I154</f>
        <v>0</v>
      </c>
      <c r="E153" s="285" t="str">
        <f>IF(C153+D153&gt;0,'analyse import'!H154*10/omrekenen!J$3,"")</f>
        <v/>
      </c>
      <c r="F153" s="286" t="str">
        <f>IF(D153+C153&gt;0,'analyse import'!I154*10/omrekenen!K$3,"")</f>
        <v/>
      </c>
      <c r="G153" s="287" t="str">
        <f>IF(C153+D153&gt;0,(E153+F153)/'analyse import'!K154,"")</f>
        <v/>
      </c>
      <c r="H153" s="56" t="s">
        <v>220</v>
      </c>
      <c r="I153" s="56" t="s">
        <v>220</v>
      </c>
      <c r="J153" s="56" t="s">
        <v>220</v>
      </c>
      <c r="K153" s="56" t="s">
        <v>220</v>
      </c>
      <c r="L153" s="56" t="s">
        <v>220</v>
      </c>
      <c r="M153" s="56" t="s">
        <v>220</v>
      </c>
      <c r="N153" s="56" t="s">
        <v>220</v>
      </c>
      <c r="O153" s="56" t="s">
        <v>220</v>
      </c>
      <c r="P153" s="56" t="s">
        <v>220</v>
      </c>
      <c r="Q153" s="56" t="s">
        <v>220</v>
      </c>
      <c r="R153" s="56" t="s">
        <v>220</v>
      </c>
      <c r="S153" s="56" t="s">
        <v>220</v>
      </c>
      <c r="T153" s="34" t="str">
        <f t="shared" si="100"/>
        <v/>
      </c>
      <c r="AF153" s="12"/>
      <c r="AH153" s="142"/>
      <c r="AI153" s="99">
        <f>'analyse import'!J154</f>
        <v>0</v>
      </c>
      <c r="AK153" s="12">
        <f t="shared" si="60"/>
        <v>0</v>
      </c>
    </row>
    <row r="154" spans="2:37">
      <c r="B154" s="11" t="s">
        <v>101</v>
      </c>
      <c r="C154" s="102">
        <f>'analyse import'!H155</f>
        <v>0</v>
      </c>
      <c r="D154" s="102">
        <f>'analyse import'!I155</f>
        <v>0</v>
      </c>
      <c r="E154" s="285" t="str">
        <f>IF(C154+D154&gt;0,'analyse import'!H155*10/omrekenen!J$3,"")</f>
        <v/>
      </c>
      <c r="F154" s="286" t="str">
        <f>IF(D154+C154&gt;0,'analyse import'!I155*10/omrekenen!K$3,"")</f>
        <v/>
      </c>
      <c r="G154" s="287" t="str">
        <f>IF(C154+D154&gt;0,(E154+F154)/'analyse import'!K155,"")</f>
        <v/>
      </c>
      <c r="H154" s="56" t="str">
        <f t="shared" ref="H154:H157" si="103">IF($C154+$D154&gt;0,IF($G154&gt;2*V154,"2x",IF($G154&gt;V154,"X","-")),"")</f>
        <v/>
      </c>
      <c r="I154" s="56" t="str">
        <f t="shared" ref="I154:I157" si="104">IF($C154+D154&gt;0,IF($G154&gt;AG154,"@",IF(G154&gt;W154,"X","-")),"")</f>
        <v/>
      </c>
      <c r="J154" s="56" t="str">
        <f t="shared" ref="J154:J157" si="105">IF($C154+D154&gt;0,IF($G154&gt;X154,"X","-"),"")</f>
        <v/>
      </c>
      <c r="K154" s="56" t="str">
        <f t="shared" ref="K154:K157" si="106">IF($C154+D154&gt;0,IF($G154&gt;Y154,"X","-"),"")</f>
        <v/>
      </c>
      <c r="L154" s="56" t="str">
        <f t="shared" ref="L154:L157" si="107">IF($C154+D154&gt;0,IF($G154&gt;AH154,"X","-"),"")</f>
        <v/>
      </c>
      <c r="M154" s="56" t="s">
        <v>220</v>
      </c>
      <c r="N154" s="56" t="str">
        <f t="shared" ref="N154:N157" si="108">IF($C154+D154&gt;0,IF($G154&gt;AA154,"X","-"),"")</f>
        <v/>
      </c>
      <c r="O154" s="56" t="str">
        <f t="shared" ref="O154:O157" si="109">IF($C154+D154&gt;0,IF($G154&gt;AB154,"X","-"),"")</f>
        <v/>
      </c>
      <c r="P154" s="56" t="str">
        <f>IF($C154+D154&gt;0,IF($G154&gt;AC154,"X","-"),"")</f>
        <v/>
      </c>
      <c r="Q154" s="56" t="str">
        <f>IF($C154+D154&gt;0,IF($G154&gt;AD154,"X","-"),"")</f>
        <v/>
      </c>
      <c r="R154" s="56" t="s">
        <v>220</v>
      </c>
      <c r="S154" s="56" t="s">
        <v>220</v>
      </c>
      <c r="T154" s="34" t="str">
        <f t="shared" si="100"/>
        <v/>
      </c>
      <c r="V154" s="414">
        <f>IF(AVERAGE(C154:D154)&gt;0.0007,0.0009,0.0035)</f>
        <v>3.5000000000000001E-3</v>
      </c>
      <c r="W154" s="414">
        <f>IF(AVERAGE(C154:D154)&gt;0.0007,0.0009,0.0035)</f>
        <v>3.5000000000000001E-3</v>
      </c>
      <c r="X154" s="12">
        <v>0.1</v>
      </c>
      <c r="Y154" s="12">
        <v>4</v>
      </c>
      <c r="AA154" s="414">
        <f>IF(AVEDEV(C154:D154)&gt;0.0007,0.0009,0.0035)</f>
        <v>3.5000000000000001E-3</v>
      </c>
      <c r="AB154" s="414">
        <f>IF(AVERAGE(C154:D154)&gt;0.0007,0.0021,0.0035)</f>
        <v>3.5000000000000001E-3</v>
      </c>
      <c r="AC154" s="12">
        <v>4</v>
      </c>
      <c r="AD154" s="12">
        <f>AC154</f>
        <v>4</v>
      </c>
      <c r="AF154" s="12"/>
      <c r="AG154" s="12">
        <v>3.5000000000000001E-3</v>
      </c>
      <c r="AH154" s="142">
        <v>2</v>
      </c>
      <c r="AI154" s="99">
        <f>'analyse import'!J155</f>
        <v>0</v>
      </c>
      <c r="AK154" s="12">
        <f t="shared" si="60"/>
        <v>0</v>
      </c>
    </row>
    <row r="155" spans="2:37">
      <c r="B155" s="11" t="s">
        <v>102</v>
      </c>
      <c r="C155" s="102">
        <f>'analyse import'!H156</f>
        <v>0</v>
      </c>
      <c r="D155" s="102">
        <f>'analyse import'!I156</f>
        <v>0</v>
      </c>
      <c r="E155" s="285" t="str">
        <f>IF(C155+D155&gt;0,'analyse import'!H156*10/omrekenen!J$3,"")</f>
        <v/>
      </c>
      <c r="F155" s="286" t="str">
        <f>IF(D155+C155&gt;0,'analyse import'!I156*10/omrekenen!K$3,"")</f>
        <v/>
      </c>
      <c r="G155" s="287" t="str">
        <f>IF(C155+D155&gt;0,(E155+F155)/'analyse import'!K156,"")</f>
        <v/>
      </c>
      <c r="H155" s="56" t="str">
        <f t="shared" si="103"/>
        <v/>
      </c>
      <c r="I155" s="56" t="str">
        <f t="shared" si="104"/>
        <v/>
      </c>
      <c r="J155" s="56" t="str">
        <f t="shared" si="105"/>
        <v/>
      </c>
      <c r="K155" s="56" t="str">
        <f t="shared" si="106"/>
        <v/>
      </c>
      <c r="L155" s="56" t="str">
        <f t="shared" si="107"/>
        <v/>
      </c>
      <c r="M155" s="56" t="s">
        <v>220</v>
      </c>
      <c r="N155" s="56" t="str">
        <f t="shared" si="108"/>
        <v/>
      </c>
      <c r="O155" s="56" t="str">
        <f t="shared" si="109"/>
        <v/>
      </c>
      <c r="P155" s="56" t="s">
        <v>220</v>
      </c>
      <c r="Q155" s="56" t="s">
        <v>220</v>
      </c>
      <c r="R155" s="56" t="s">
        <v>220</v>
      </c>
      <c r="S155" s="56" t="s">
        <v>220</v>
      </c>
      <c r="T155" s="34" t="str">
        <f t="shared" si="100"/>
        <v/>
      </c>
      <c r="V155" s="414">
        <f>IF(AVERAGE(C155:D155)&gt;0.0007,0.001,0.0035)</f>
        <v>3.5000000000000001E-3</v>
      </c>
      <c r="W155" s="414">
        <f>IF(AVERAGE(C155:D155)&gt;0.0007,0.001,0.0035)</f>
        <v>3.5000000000000001E-3</v>
      </c>
      <c r="X155" s="12">
        <v>0.5</v>
      </c>
      <c r="Y155" s="12">
        <v>17</v>
      </c>
      <c r="AA155" s="414">
        <f>IF(AVERAGE(C155:D155)&gt;0.0007,0.001,0.0035)</f>
        <v>3.5000000000000001E-3</v>
      </c>
      <c r="AB155" s="414">
        <f>IF(AVERAGE(C155:D155)&gt;0.0007,0.0012,0.0035)</f>
        <v>3.5000000000000001E-3</v>
      </c>
      <c r="AF155" s="12"/>
      <c r="AG155" s="12">
        <v>3.5000000000000001E-3</v>
      </c>
      <c r="AH155" s="142">
        <v>8.5</v>
      </c>
      <c r="AI155" s="99">
        <f>'analyse import'!J156</f>
        <v>0</v>
      </c>
      <c r="AK155" s="12">
        <f t="shared" si="60"/>
        <v>0</v>
      </c>
    </row>
    <row r="156" spans="2:37">
      <c r="B156" s="11" t="s">
        <v>103</v>
      </c>
      <c r="C156" s="102">
        <f>'analyse import'!H157</f>
        <v>0</v>
      </c>
      <c r="D156" s="102">
        <f>'analyse import'!I157</f>
        <v>0</v>
      </c>
      <c r="E156" s="285" t="str">
        <f>IF(C156+D156&gt;0,'analyse import'!H157*10/omrekenen!J$3,"")</f>
        <v/>
      </c>
      <c r="F156" s="286" t="str">
        <f>IF(D156+C156&gt;0,'analyse import'!I157*10/omrekenen!K$3,"")</f>
        <v/>
      </c>
      <c r="G156" s="287" t="str">
        <f>IF(C156+D156&gt;0,(E156+F156)/'analyse import'!K157,"")</f>
        <v/>
      </c>
      <c r="H156" s="56" t="str">
        <f t="shared" si="103"/>
        <v/>
      </c>
      <c r="I156" s="56" t="str">
        <f t="shared" si="104"/>
        <v/>
      </c>
      <c r="J156" s="56" t="str">
        <f t="shared" si="105"/>
        <v/>
      </c>
      <c r="K156" s="56" t="str">
        <f t="shared" si="106"/>
        <v/>
      </c>
      <c r="L156" s="56" t="str">
        <f t="shared" si="107"/>
        <v/>
      </c>
      <c r="M156" s="56" t="s">
        <v>220</v>
      </c>
      <c r="N156" s="56" t="str">
        <f t="shared" si="108"/>
        <v/>
      </c>
      <c r="O156" s="56" t="str">
        <f t="shared" si="109"/>
        <v/>
      </c>
      <c r="P156" s="56" t="s">
        <v>220</v>
      </c>
      <c r="Q156" s="56" t="s">
        <v>220</v>
      </c>
      <c r="R156" s="56" t="s">
        <v>220</v>
      </c>
      <c r="S156" s="56" t="s">
        <v>220</v>
      </c>
      <c r="T156" s="34" t="str">
        <f t="shared" si="100"/>
        <v/>
      </c>
      <c r="V156" s="414">
        <f>IF(AVERAGE(C156:D156)&gt;0.0007,0.002,0.0035)</f>
        <v>3.5000000000000001E-3</v>
      </c>
      <c r="W156" s="414">
        <f>IF(AVERAGE(C156:D156)&gt;0.0007,0.002,0.0035)</f>
        <v>3.5000000000000001E-3</v>
      </c>
      <c r="X156" s="12">
        <v>0.5</v>
      </c>
      <c r="Y156" s="12">
        <v>1.6</v>
      </c>
      <c r="AA156" s="414">
        <f>IF(AVERAGE(C156:D156)&gt;0.0007,0.002,0.0035)</f>
        <v>3.5000000000000001E-3</v>
      </c>
      <c r="AB156" s="12">
        <v>6.4999999999999997E-3</v>
      </c>
      <c r="AF156" s="12"/>
      <c r="AG156" s="12">
        <v>4.0000000000000001E-3</v>
      </c>
      <c r="AH156" s="142">
        <v>0.80010000000000003</v>
      </c>
      <c r="AI156" s="99">
        <f>'analyse import'!J157</f>
        <v>0</v>
      </c>
      <c r="AK156" s="12">
        <f t="shared" si="60"/>
        <v>0</v>
      </c>
    </row>
    <row r="157" spans="2:37">
      <c r="B157" s="11" t="s">
        <v>105</v>
      </c>
      <c r="C157" s="102">
        <f>'analyse import'!H158</f>
        <v>0</v>
      </c>
      <c r="D157" s="102">
        <f>'analyse import'!I158</f>
        <v>0</v>
      </c>
      <c r="E157" s="285" t="str">
        <f>IF(C157+D157&gt;0,'analyse import'!H158*10/omrekenen!J$3,"")</f>
        <v/>
      </c>
      <c r="F157" s="286" t="str">
        <f>IF(D157+C157&gt;0,'analyse import'!I158*10/omrekenen!K$3,"")</f>
        <v/>
      </c>
      <c r="G157" s="287" t="str">
        <f>IF(C157+D157&gt;0,(E157+F157)/'analyse import'!K158,"")</f>
        <v/>
      </c>
      <c r="H157" s="56" t="str">
        <f t="shared" si="103"/>
        <v/>
      </c>
      <c r="I157" s="56" t="str">
        <f t="shared" si="104"/>
        <v/>
      </c>
      <c r="J157" s="56" t="str">
        <f t="shared" si="105"/>
        <v/>
      </c>
      <c r="K157" s="56" t="str">
        <f t="shared" si="106"/>
        <v/>
      </c>
      <c r="L157" s="56" t="str">
        <f t="shared" si="107"/>
        <v/>
      </c>
      <c r="M157" s="56" t="s">
        <v>220</v>
      </c>
      <c r="N157" s="56" t="str">
        <f t="shared" si="108"/>
        <v/>
      </c>
      <c r="O157" s="56" t="str">
        <f t="shared" si="109"/>
        <v/>
      </c>
      <c r="P157" s="56" t="s">
        <v>220</v>
      </c>
      <c r="Q157" s="56" t="s">
        <v>220</v>
      </c>
      <c r="R157" s="56" t="s">
        <v>220</v>
      </c>
      <c r="S157" s="56" t="s">
        <v>220</v>
      </c>
      <c r="T157" s="34" t="str">
        <f t="shared" si="100"/>
        <v/>
      </c>
      <c r="V157" s="414">
        <f>IF(AVERAGE(C157:D157)&gt;0.0007,0.003,0.0035)</f>
        <v>3.5000000000000001E-3</v>
      </c>
      <c r="W157" s="12">
        <v>0.04</v>
      </c>
      <c r="X157" s="12">
        <v>0.5</v>
      </c>
      <c r="Y157" s="12">
        <v>1.2</v>
      </c>
      <c r="AA157" s="414">
        <f>IF(AVERAGE(C157:D157)&gt;0.0007,0.003,0.0035)</f>
        <v>3.5000000000000001E-3</v>
      </c>
      <c r="AB157" s="414">
        <f>IF(AVERAGE(C157:D157)&gt;0.0007,0.003,0.0035)</f>
        <v>3.5000000000000001E-3</v>
      </c>
      <c r="AF157" s="12"/>
      <c r="AG157" s="12">
        <v>4.2999999999999997E-2</v>
      </c>
      <c r="AH157" s="142">
        <v>0.60014999999999996</v>
      </c>
      <c r="AI157" s="99">
        <f>'analyse import'!J158</f>
        <v>0</v>
      </c>
      <c r="AK157" s="12">
        <f t="shared" ref="AK157:AK220" si="110">IF(K157="X",1,0)</f>
        <v>0</v>
      </c>
    </row>
    <row r="158" spans="2:37">
      <c r="B158" s="11" t="s">
        <v>104</v>
      </c>
      <c r="C158" s="102">
        <f>'analyse import'!H159</f>
        <v>0</v>
      </c>
      <c r="D158" s="102">
        <f>'analyse import'!I159</f>
        <v>0</v>
      </c>
      <c r="E158" s="285" t="str">
        <f>IF(C158+D158&gt;0,'analyse import'!H159*10/omrekenen!J$3,"")</f>
        <v/>
      </c>
      <c r="F158" s="286" t="str">
        <f>IF(D158+C158&gt;0,'analyse import'!I159*10/omrekenen!K$3,"")</f>
        <v/>
      </c>
      <c r="G158" s="287" t="str">
        <f>IF(C158+D158&gt;0,(E158+F158)/'analyse import'!K159,"")</f>
        <v/>
      </c>
      <c r="H158" s="56" t="s">
        <v>220</v>
      </c>
      <c r="I158" s="56" t="s">
        <v>220</v>
      </c>
      <c r="J158" s="56" t="s">
        <v>220</v>
      </c>
      <c r="K158" s="56" t="s">
        <v>220</v>
      </c>
      <c r="L158" s="56" t="s">
        <v>220</v>
      </c>
      <c r="M158" s="56" t="s">
        <v>220</v>
      </c>
      <c r="N158" s="56" t="s">
        <v>220</v>
      </c>
      <c r="O158" s="56" t="s">
        <v>220</v>
      </c>
      <c r="P158" s="56" t="s">
        <v>220</v>
      </c>
      <c r="Q158" s="56" t="s">
        <v>220</v>
      </c>
      <c r="R158" s="56" t="s">
        <v>220</v>
      </c>
      <c r="S158" s="56" t="s">
        <v>220</v>
      </c>
      <c r="T158" s="34" t="str">
        <f t="shared" si="100"/>
        <v/>
      </c>
      <c r="AF158" s="12"/>
      <c r="AH158" s="142"/>
      <c r="AI158" s="99">
        <f>'analyse import'!J159</f>
        <v>0</v>
      </c>
      <c r="AK158" s="12">
        <f t="shared" si="110"/>
        <v>0</v>
      </c>
    </row>
    <row r="159" spans="2:37">
      <c r="B159" s="11" t="s">
        <v>652</v>
      </c>
      <c r="C159" s="102">
        <f>SUM(C155:C157)</f>
        <v>0</v>
      </c>
      <c r="D159" s="102">
        <f>SUM(D155:D157)</f>
        <v>0</v>
      </c>
      <c r="E159" s="285" t="str">
        <f>IF(C159+D159&gt;0,C159*10/omrekenen!J$3,"")</f>
        <v/>
      </c>
      <c r="F159" s="286" t="str">
        <f>IF(D159+C159&gt;0,D159*10/omrekenen!K$3,"")</f>
        <v/>
      </c>
      <c r="G159" s="287" t="str">
        <f>IF(C159+D159&gt;0,(E159+F159)/'analyse import'!K160,"")</f>
        <v/>
      </c>
      <c r="H159" s="56" t="s">
        <v>220</v>
      </c>
      <c r="I159" s="56" t="s">
        <v>220</v>
      </c>
      <c r="J159" s="56" t="s">
        <v>220</v>
      </c>
      <c r="K159" s="56" t="s">
        <v>220</v>
      </c>
      <c r="L159" s="56" t="s">
        <v>220</v>
      </c>
      <c r="M159" s="56" t="s">
        <v>220</v>
      </c>
      <c r="N159" s="56" t="str">
        <f t="shared" ref="N159:N163" si="111">IF($C159+D159&gt;0,IF($G159&gt;AA159,"X","-"),"")</f>
        <v/>
      </c>
      <c r="O159" s="56" t="str">
        <f t="shared" ref="O159:O162" si="112">IF($C159+D159&gt;0,IF($G159&gt;AB159,"X","-"),"")</f>
        <v/>
      </c>
      <c r="P159" s="56" t="str">
        <f t="shared" ref="P159:P161" si="113">IF($C159+D159&gt;0,IF($G159&gt;AC159,"X","-"),"")</f>
        <v/>
      </c>
      <c r="Q159" s="56" t="str">
        <f t="shared" ref="Q159:Q161" si="114">IF($C159+D159&gt;0,IF($G159&gt;AD159,"X","-"),"")</f>
        <v/>
      </c>
      <c r="R159" s="56" t="s">
        <v>220</v>
      </c>
      <c r="S159" s="56" t="s">
        <v>220</v>
      </c>
      <c r="T159" s="34" t="str">
        <f t="shared" si="100"/>
        <v/>
      </c>
      <c r="AA159" s="414">
        <f>IF(AVERAGE(C159:D159)&gt;0.0021,0.01,0.0105)</f>
        <v>1.0500000000000001E-2</v>
      </c>
      <c r="AB159" s="414">
        <f>IF(AVERAGE(C159:D159)&gt;0.0021,0.01,0.0105)</f>
        <v>1.0500000000000001E-2</v>
      </c>
      <c r="AC159" s="12">
        <v>2</v>
      </c>
      <c r="AD159" s="12">
        <f>AC159</f>
        <v>2</v>
      </c>
      <c r="AF159" s="12"/>
      <c r="AH159" s="142"/>
      <c r="AI159" s="99">
        <f>'analyse import'!J160</f>
        <v>0</v>
      </c>
      <c r="AK159" s="12">
        <f t="shared" si="110"/>
        <v>0</v>
      </c>
    </row>
    <row r="160" spans="2:37">
      <c r="B160" s="11" t="s">
        <v>107</v>
      </c>
      <c r="C160" s="102">
        <f>'analyse import'!H161</f>
        <v>0</v>
      </c>
      <c r="D160" s="102">
        <f>'analyse import'!I161</f>
        <v>0</v>
      </c>
      <c r="E160" s="285" t="str">
        <f>IF(C160+D160&gt;0,'analyse import'!H161*10/omrekenen!J$3,"")</f>
        <v/>
      </c>
      <c r="F160" s="286" t="str">
        <f>IF(D160+C160&gt;0,'analyse import'!I161*10/omrekenen!K$3,"")</f>
        <v/>
      </c>
      <c r="G160" s="287" t="str">
        <f>IF(C160+D160&gt;0,(E160+F160)/'analyse import'!K161,"")</f>
        <v/>
      </c>
      <c r="H160" s="56" t="str">
        <f t="shared" ref="H160:H162" si="115">IF($C160+$D160&gt;0,IF($G160&gt;2*V160,"2x",IF($G160&gt;V160,"X","-")),"")</f>
        <v/>
      </c>
      <c r="I160" s="56" t="str">
        <f t="shared" ref="I160:I161" si="116">IF($C160+D160&gt;0,IF($G160&gt;AG160,"@",IF(G160&gt;W160,"X","-")),"")</f>
        <v/>
      </c>
      <c r="J160" s="56" t="str">
        <f t="shared" ref="J160:J161" si="117">IF($C160+D160&gt;0,IF($G160&gt;X160,"X","-"),"")</f>
        <v/>
      </c>
      <c r="K160" s="56" t="str">
        <f t="shared" ref="K160:K161" si="118">IF($C160+D160&gt;0,IF($G160&gt;Y160,"X","-"),"")</f>
        <v/>
      </c>
      <c r="L160" s="56" t="str">
        <f t="shared" ref="L160:L161" si="119">IF($C160+D160&gt;0,IF($G160&gt;AH160,"X","-"),"")</f>
        <v/>
      </c>
      <c r="M160" s="56" t="s">
        <v>220</v>
      </c>
      <c r="N160" s="56" t="str">
        <f t="shared" si="111"/>
        <v/>
      </c>
      <c r="O160" s="56" t="str">
        <f t="shared" si="112"/>
        <v/>
      </c>
      <c r="P160" s="56" t="str">
        <f t="shared" si="113"/>
        <v/>
      </c>
      <c r="Q160" s="56" t="str">
        <f t="shared" si="114"/>
        <v/>
      </c>
      <c r="R160" s="56" t="s">
        <v>220</v>
      </c>
      <c r="S160" s="56" t="s">
        <v>220</v>
      </c>
      <c r="T160" s="34" t="str">
        <f t="shared" si="100"/>
        <v/>
      </c>
      <c r="V160" s="414">
        <f>IF(AVERAGE(C160:D160)&gt;0.0007,0.0007,0.0035)</f>
        <v>3.5000000000000001E-3</v>
      </c>
      <c r="W160" s="414">
        <f>IF(AVERAGE(C160:D160)&gt;0.0007,0.0007,0.0035)</f>
        <v>3.5000000000000001E-3</v>
      </c>
      <c r="X160" s="12">
        <v>0.1</v>
      </c>
      <c r="Y160" s="12">
        <v>4</v>
      </c>
      <c r="AA160" s="414">
        <f>IF(AVERAGE(C160:D160)&gt;0.0007,0.0007,0.0035)</f>
        <v>3.5000000000000001E-3</v>
      </c>
      <c r="AB160" s="12">
        <v>4.0000000000000001E-3</v>
      </c>
      <c r="AC160" s="12">
        <v>4</v>
      </c>
      <c r="AD160" s="12">
        <f>AC160</f>
        <v>4</v>
      </c>
      <c r="AF160" s="12"/>
      <c r="AG160" s="12">
        <v>3.5000000000000001E-3</v>
      </c>
      <c r="AH160" s="142">
        <v>2.0004</v>
      </c>
      <c r="AI160" s="99">
        <f>'analyse import'!J161</f>
        <v>0</v>
      </c>
      <c r="AK160" s="12">
        <f t="shared" si="110"/>
        <v>0</v>
      </c>
    </row>
    <row r="161" spans="1:37">
      <c r="B161" s="11" t="s">
        <v>108</v>
      </c>
      <c r="C161" s="102">
        <f>'analyse import'!H162</f>
        <v>0</v>
      </c>
      <c r="D161" s="102">
        <f>'analyse import'!I162</f>
        <v>0</v>
      </c>
      <c r="E161" s="285" t="str">
        <f>IF(C161+D161&gt;0,'analyse import'!H162*10/omrekenen!J$3,"")</f>
        <v/>
      </c>
      <c r="F161" s="286" t="str">
        <f>IF(D161+C161&gt;0,'analyse import'!I162*10/omrekenen!K$3,"")</f>
        <v/>
      </c>
      <c r="G161" s="287" t="str">
        <f>IF(C161+D161&gt;0,(E161+F161)/'analyse import'!K162,"")</f>
        <v/>
      </c>
      <c r="H161" s="56" t="str">
        <f t="shared" si="115"/>
        <v/>
      </c>
      <c r="I161" s="56" t="str">
        <f t="shared" si="116"/>
        <v/>
      </c>
      <c r="J161" s="56" t="str">
        <f t="shared" si="117"/>
        <v/>
      </c>
      <c r="K161" s="56" t="str">
        <f t="shared" si="118"/>
        <v/>
      </c>
      <c r="L161" s="56" t="str">
        <f t="shared" si="119"/>
        <v/>
      </c>
      <c r="M161" s="56" t="s">
        <v>220</v>
      </c>
      <c r="N161" s="56" t="str">
        <f t="shared" si="111"/>
        <v/>
      </c>
      <c r="O161" s="56" t="str">
        <f t="shared" si="112"/>
        <v/>
      </c>
      <c r="P161" s="56" t="str">
        <f t="shared" si="113"/>
        <v/>
      </c>
      <c r="Q161" s="56" t="str">
        <f t="shared" si="114"/>
        <v/>
      </c>
      <c r="R161" s="56" t="s">
        <v>220</v>
      </c>
      <c r="S161" s="56" t="s">
        <v>220</v>
      </c>
      <c r="T161" s="34" t="str">
        <f t="shared" si="100"/>
        <v/>
      </c>
      <c r="V161" s="414">
        <f>IF(AVERAGE(C161:D161)&gt;0.0014,0.002,0.007)</f>
        <v>7.0000000000000001E-3</v>
      </c>
      <c r="W161" s="414">
        <f>IF(AVERAGE(C161:D161)&gt;0.0014,0.002,0.007)</f>
        <v>7.0000000000000001E-3</v>
      </c>
      <c r="X161" s="12">
        <v>0.1</v>
      </c>
      <c r="Y161" s="12">
        <v>4</v>
      </c>
      <c r="AA161" s="414">
        <f>IF(AVERAGE(C161:D161)&gt;0.0014,0.002,0.007)</f>
        <v>7.0000000000000001E-3</v>
      </c>
      <c r="AB161" s="414">
        <f>IF(AVERAGE(C161:D161)&gt;0.0014,0.004,0.007)</f>
        <v>7.0000000000000001E-3</v>
      </c>
      <c r="AC161" s="12">
        <v>4</v>
      </c>
      <c r="AD161" s="12">
        <f>AC161</f>
        <v>4</v>
      </c>
      <c r="AF161" s="12"/>
      <c r="AG161" s="12">
        <v>7.0000000000000001E-3</v>
      </c>
      <c r="AH161" s="142">
        <v>2.0009999999999999</v>
      </c>
      <c r="AI161" s="99">
        <f>'analyse import'!J162</f>
        <v>0</v>
      </c>
      <c r="AK161" s="12">
        <f t="shared" si="110"/>
        <v>0</v>
      </c>
    </row>
    <row r="162" spans="1:37">
      <c r="B162" s="11" t="s">
        <v>109</v>
      </c>
      <c r="C162" s="102">
        <f>'analyse import'!H163</f>
        <v>0</v>
      </c>
      <c r="D162" s="102">
        <f>'analyse import'!I163</f>
        <v>0</v>
      </c>
      <c r="E162" s="285" t="str">
        <f>IF(C162+D162&gt;0,'analyse import'!H163*10/omrekenen!J$3,"")</f>
        <v/>
      </c>
      <c r="F162" s="286" t="str">
        <f>IF(D162+C162&gt;0,'analyse import'!I163*10/omrekenen!K$3,"")</f>
        <v/>
      </c>
      <c r="G162" s="287" t="str">
        <f>IF(C162+D162&gt;0,(E162+F162)/'analyse import'!K163,"")</f>
        <v/>
      </c>
      <c r="H162" s="56" t="str">
        <f t="shared" si="115"/>
        <v/>
      </c>
      <c r="I162" s="56" t="s">
        <v>220</v>
      </c>
      <c r="J162" s="56" t="s">
        <v>220</v>
      </c>
      <c r="K162" s="56" t="s">
        <v>220</v>
      </c>
      <c r="L162" s="56" t="s">
        <v>220</v>
      </c>
      <c r="M162" s="56" t="s">
        <v>220</v>
      </c>
      <c r="N162" s="56" t="str">
        <f t="shared" si="111"/>
        <v/>
      </c>
      <c r="O162" s="56" t="str">
        <f t="shared" si="112"/>
        <v/>
      </c>
      <c r="P162" s="56" t="s">
        <v>220</v>
      </c>
      <c r="Q162" s="56" t="s">
        <v>220</v>
      </c>
      <c r="R162" s="56" t="s">
        <v>220</v>
      </c>
      <c r="S162" s="56" t="s">
        <v>220</v>
      </c>
      <c r="T162" s="34" t="str">
        <f t="shared" si="100"/>
        <v/>
      </c>
      <c r="V162" s="414">
        <f>IF(AVERAGE(C162:D162)&gt;0.0007,0.003,0.0035)</f>
        <v>3.5000000000000001E-3</v>
      </c>
      <c r="AA162" s="414">
        <f>IF(AVERAGE(C162:D162)&gt;0.0007,0.003,0.0035)</f>
        <v>3.5000000000000001E-3</v>
      </c>
      <c r="AB162" s="12">
        <v>7.4999999999999997E-3</v>
      </c>
      <c r="AF162" s="12"/>
      <c r="AH162" s="142">
        <v>4</v>
      </c>
      <c r="AI162" s="99">
        <f>'analyse import'!J163</f>
        <v>0</v>
      </c>
      <c r="AK162" s="12">
        <f t="shared" si="110"/>
        <v>0</v>
      </c>
    </row>
    <row r="163" spans="1:37">
      <c r="B163" s="11" t="s">
        <v>110</v>
      </c>
      <c r="C163" s="142">
        <f>'analyse import'!H164</f>
        <v>0</v>
      </c>
      <c r="D163" s="142">
        <f>'analyse import'!I164</f>
        <v>0</v>
      </c>
      <c r="E163" s="285" t="str">
        <f>IF(C163+D163&gt;0,'analyse import'!H164*10/omrekenen!J$3,"")</f>
        <v/>
      </c>
      <c r="F163" s="286" t="str">
        <f>IF(D163+C163&gt;0,'analyse import'!I164*10/omrekenen!K$3,"")</f>
        <v/>
      </c>
      <c r="G163" s="287" t="str">
        <f>IF(C163+D163&gt;0,(E163+F163)/'analyse import'!K164,"")</f>
        <v/>
      </c>
      <c r="H163" s="56" t="str">
        <f>IF($C163+$D163&gt;0,IF($G163&gt;2*V163,"2x",IF($G163&gt;V163,"X","-")),"")</f>
        <v/>
      </c>
      <c r="I163" s="56" t="s">
        <v>220</v>
      </c>
      <c r="J163" s="56" t="s">
        <v>220</v>
      </c>
      <c r="K163" s="56" t="s">
        <v>220</v>
      </c>
      <c r="L163" s="56" t="s">
        <v>220</v>
      </c>
      <c r="M163" s="56" t="s">
        <v>220</v>
      </c>
      <c r="N163" s="56" t="str">
        <f t="shared" si="111"/>
        <v/>
      </c>
      <c r="O163" s="56" t="s">
        <v>220</v>
      </c>
      <c r="P163" s="56" t="s">
        <v>220</v>
      </c>
      <c r="Q163" s="56" t="s">
        <v>220</v>
      </c>
      <c r="R163" s="56" t="s">
        <v>220</v>
      </c>
      <c r="S163" s="56" t="s">
        <v>220</v>
      </c>
      <c r="T163" s="34" t="str">
        <f t="shared" si="100"/>
        <v/>
      </c>
      <c r="V163" s="12">
        <v>0.4</v>
      </c>
      <c r="AA163" s="12">
        <v>0.4</v>
      </c>
      <c r="AF163" s="12"/>
      <c r="AG163" s="12">
        <v>0.5</v>
      </c>
      <c r="AI163" s="99">
        <f>'analyse import'!J164</f>
        <v>0</v>
      </c>
      <c r="AK163" s="12">
        <f t="shared" si="110"/>
        <v>0</v>
      </c>
    </row>
    <row r="164" spans="1:37">
      <c r="C164" s="12"/>
      <c r="D164" s="12"/>
      <c r="E164" s="276"/>
      <c r="F164" s="277"/>
      <c r="G164" s="71"/>
      <c r="AF164" s="12"/>
      <c r="AI164" s="99">
        <v>0</v>
      </c>
      <c r="AK164" s="12"/>
    </row>
    <row r="165" spans="1:37">
      <c r="A165" s="10" t="s">
        <v>67</v>
      </c>
      <c r="B165" s="35" t="s">
        <v>112</v>
      </c>
      <c r="C165" s="33" t="s">
        <v>5</v>
      </c>
      <c r="D165" s="33" t="s">
        <v>5</v>
      </c>
      <c r="E165" s="273" t="s">
        <v>5</v>
      </c>
      <c r="F165" s="274" t="s">
        <v>5</v>
      </c>
      <c r="G165" s="72" t="s">
        <v>5</v>
      </c>
      <c r="H165" s="33" t="s">
        <v>229</v>
      </c>
      <c r="I165" s="33" t="s">
        <v>228</v>
      </c>
      <c r="J165" s="33" t="s">
        <v>227</v>
      </c>
      <c r="K165" s="33" t="s">
        <v>232</v>
      </c>
      <c r="L165" s="33" t="s">
        <v>267</v>
      </c>
      <c r="M165" s="33" t="s">
        <v>234</v>
      </c>
      <c r="N165" s="33" t="s">
        <v>230</v>
      </c>
      <c r="O165" s="33" t="s">
        <v>170</v>
      </c>
      <c r="P165" s="33" t="s">
        <v>171</v>
      </c>
      <c r="Q165" s="33" t="s">
        <v>231</v>
      </c>
      <c r="R165" s="33" t="s">
        <v>233</v>
      </c>
      <c r="S165" s="33" t="s">
        <v>185</v>
      </c>
      <c r="T165" s="116" t="s">
        <v>272</v>
      </c>
      <c r="AF165" s="12"/>
      <c r="AG165" s="30" t="s">
        <v>266</v>
      </c>
      <c r="AH165" s="30" t="s">
        <v>265</v>
      </c>
      <c r="AI165" s="99">
        <f>AI166</f>
        <v>0</v>
      </c>
      <c r="AK165" s="12"/>
    </row>
    <row r="166" spans="1:37">
      <c r="B166" s="11" t="s">
        <v>176</v>
      </c>
      <c r="C166" s="142">
        <f>'analyse import'!H167</f>
        <v>0</v>
      </c>
      <c r="D166" s="142">
        <f>'analyse import'!I167</f>
        <v>0</v>
      </c>
      <c r="E166" s="263" t="str">
        <f>IF(C166+D166&gt;0,'analyse import'!H167*10/omrekenen!J$3,"")</f>
        <v/>
      </c>
      <c r="F166" s="264" t="str">
        <f>IF(D166+C166&gt;0,'analyse import'!I167*10/omrekenen!K$3,"")</f>
        <v/>
      </c>
      <c r="G166" s="73" t="str">
        <f>IF(C166+D166&gt;0,(E166+F166)/'analyse import'!K167,"")</f>
        <v/>
      </c>
      <c r="H166" s="56" t="str">
        <f>IF($C166+$D166&gt;0,IF($G166&gt;2*V166,"2x",IF($G166&gt;V166,"X","-")),"")</f>
        <v/>
      </c>
      <c r="I166" s="56" t="str">
        <f>IF($C166+D166&gt;0,IF($G166&gt;AG166,"@",IF(G166&gt;W166,"X","-")),"")</f>
        <v/>
      </c>
      <c r="J166" s="56" t="str">
        <f>IF($C166+D166&gt;0,IF($G166&gt;X166,"X","-"),"")</f>
        <v/>
      </c>
      <c r="K166" s="56" t="str">
        <f>IF($C166+D166&gt;0,IF($G166&gt;Y166,"X","-"),"")</f>
        <v/>
      </c>
      <c r="L166" s="56" t="str">
        <f>IF($C166+D166&gt;0,IF($G166&gt;AH166,"X","-"),"")</f>
        <v/>
      </c>
      <c r="M166" s="56" t="s">
        <v>220</v>
      </c>
      <c r="N166" s="56" t="s">
        <v>220</v>
      </c>
      <c r="O166" s="56" t="s">
        <v>220</v>
      </c>
      <c r="P166" s="56" t="s">
        <v>220</v>
      </c>
      <c r="Q166" s="56" t="s">
        <v>220</v>
      </c>
      <c r="R166" s="56" t="s">
        <v>220</v>
      </c>
      <c r="S166" s="56" t="s">
        <v>220</v>
      </c>
      <c r="T166" s="34" t="str">
        <f>IF(C166*D166&gt;0,MAX(C166:D166)/MIN(C166:D166),"")</f>
        <v/>
      </c>
      <c r="V166" s="12">
        <v>7.4999999999999997E-3</v>
      </c>
      <c r="W166" s="12">
        <v>7.4999999999999997E-3</v>
      </c>
      <c r="X166" s="12">
        <v>7.4999999999999997E-3</v>
      </c>
      <c r="Y166" s="12">
        <v>2</v>
      </c>
      <c r="AF166" s="12"/>
      <c r="AG166" s="12">
        <f>IF(V166+W166&gt;X166,X166,V166+W166)</f>
        <v>7.4999999999999997E-3</v>
      </c>
      <c r="AH166" s="142">
        <f>(V166+Y166)/2</f>
        <v>1.0037499999999999</v>
      </c>
      <c r="AI166" s="99">
        <f>'analyse import'!J167</f>
        <v>0</v>
      </c>
      <c r="AK166" s="12">
        <f t="shared" si="110"/>
        <v>0</v>
      </c>
    </row>
    <row r="167" spans="1:37">
      <c r="C167" s="12"/>
      <c r="D167" s="12"/>
      <c r="E167" s="276"/>
      <c r="F167" s="277"/>
      <c r="G167" s="71"/>
      <c r="AF167" s="12"/>
      <c r="AI167" s="99">
        <v>0</v>
      </c>
      <c r="AK167" s="12"/>
    </row>
    <row r="168" spans="1:37">
      <c r="A168" s="10" t="s">
        <v>72</v>
      </c>
      <c r="B168" s="35" t="s">
        <v>113</v>
      </c>
      <c r="C168" s="33" t="s">
        <v>5</v>
      </c>
      <c r="D168" s="33" t="s">
        <v>5</v>
      </c>
      <c r="E168" s="273" t="s">
        <v>5</v>
      </c>
      <c r="F168" s="274" t="s">
        <v>5</v>
      </c>
      <c r="G168" s="72" t="s">
        <v>5</v>
      </c>
      <c r="H168" s="33" t="s">
        <v>229</v>
      </c>
      <c r="I168" s="33" t="s">
        <v>228</v>
      </c>
      <c r="J168" s="33" t="s">
        <v>227</v>
      </c>
      <c r="K168" s="33" t="s">
        <v>232</v>
      </c>
      <c r="L168" s="33" t="s">
        <v>267</v>
      </c>
      <c r="M168" s="33" t="s">
        <v>234</v>
      </c>
      <c r="N168" s="33" t="s">
        <v>230</v>
      </c>
      <c r="O168" s="33" t="s">
        <v>170</v>
      </c>
      <c r="P168" s="33" t="s">
        <v>171</v>
      </c>
      <c r="Q168" s="33" t="s">
        <v>231</v>
      </c>
      <c r="R168" s="33" t="s">
        <v>233</v>
      </c>
      <c r="S168" s="33" t="s">
        <v>185</v>
      </c>
      <c r="T168" s="116" t="s">
        <v>272</v>
      </c>
      <c r="AF168" s="12"/>
      <c r="AI168" s="99">
        <f>IF(SUM(AI169:AI172)&gt;0,1,0)</f>
        <v>0</v>
      </c>
      <c r="AK168" s="12"/>
    </row>
    <row r="169" spans="1:37">
      <c r="B169" s="11" t="s">
        <v>114</v>
      </c>
      <c r="C169" s="142">
        <f>'analyse import'!H170</f>
        <v>0</v>
      </c>
      <c r="D169" s="142">
        <f>'analyse import'!I170</f>
        <v>0</v>
      </c>
      <c r="E169" s="263" t="str">
        <f>IF(C169+D169&gt;0,'analyse import'!H170*10/omrekenen!J$3,"")</f>
        <v/>
      </c>
      <c r="F169" s="264" t="str">
        <f>IF(D169+C169&gt;0,'analyse import'!I170*10/omrekenen!K$3,"")</f>
        <v/>
      </c>
      <c r="G169" s="73" t="str">
        <f>IF(C169+D169&gt;0,(E169+F169)/'analyse import'!K170,"")</f>
        <v/>
      </c>
      <c r="H169" s="56" t="str">
        <f t="shared" ref="H169:H170" si="120">IF($C169+$D169&gt;0,IF($G169&gt;2*V169,"2x",IF($G169&gt;V169,"X","-")),"")</f>
        <v/>
      </c>
      <c r="I169" s="56" t="str">
        <f t="shared" ref="I169:I170" si="121">IF($C169+D169&gt;0,IF($G169&gt;AG169,"@",IF(G169&gt;W169,"X","-")),"")</f>
        <v/>
      </c>
      <c r="J169" s="56" t="str">
        <f>IF($C169+D169&gt;0,IF($G169&gt;X169,"X","-"),"")</f>
        <v/>
      </c>
      <c r="K169" s="56" t="str">
        <f>IF($C169+D169&gt;0,IF($G169&gt;Y169,"X","-"),"")</f>
        <v/>
      </c>
      <c r="L169" s="56" t="str">
        <f>IF($C169+D169&gt;0,IF($G169&gt;AH169,"X","-"),"")</f>
        <v/>
      </c>
      <c r="M169" s="56" t="s">
        <v>220</v>
      </c>
      <c r="N169" s="56" t="s">
        <v>220</v>
      </c>
      <c r="O169" s="56" t="s">
        <v>220</v>
      </c>
      <c r="P169" s="56" t="str">
        <f>IF($C169+D169&gt;0,IF($G169&gt;AC169,"X","-"),"")</f>
        <v/>
      </c>
      <c r="Q169" s="56" t="str">
        <f>IF($C169+D169&gt;0,IF($G169&gt;AD169,"X","-"),"")</f>
        <v/>
      </c>
      <c r="R169" s="56" t="s">
        <v>220</v>
      </c>
      <c r="S169" s="56" t="s">
        <v>220</v>
      </c>
      <c r="T169" s="34" t="str">
        <f t="shared" ref="T169:T172" si="122">IF(C169*D169&gt;0,MAX(C169:D169)/MIN(C169:D169),"")</f>
        <v/>
      </c>
      <c r="V169" s="12">
        <v>0.15</v>
      </c>
      <c r="W169" s="12">
        <v>0.5</v>
      </c>
      <c r="X169" s="12">
        <v>2.5</v>
      </c>
      <c r="Y169" s="12">
        <v>2.5</v>
      </c>
      <c r="AC169" s="12">
        <v>2.5</v>
      </c>
      <c r="AD169" s="12">
        <f>AC169</f>
        <v>2.5</v>
      </c>
      <c r="AG169" s="12">
        <f>IF(V169+W169&gt;X169,X169,V169+W169)</f>
        <v>0.65</v>
      </c>
      <c r="AH169" s="12">
        <f>(V169+Y169)/2</f>
        <v>1.325</v>
      </c>
      <c r="AI169" s="99">
        <f>'analyse import'!J170</f>
        <v>0</v>
      </c>
      <c r="AK169" s="12">
        <f t="shared" si="110"/>
        <v>0</v>
      </c>
    </row>
    <row r="170" spans="1:37">
      <c r="B170" s="11" t="s">
        <v>115</v>
      </c>
      <c r="C170" s="142">
        <f>'analyse import'!H171</f>
        <v>0</v>
      </c>
      <c r="D170" s="142">
        <f>'analyse import'!I171</f>
        <v>0</v>
      </c>
      <c r="E170" s="263" t="str">
        <f>IF(C170+D170&gt;0,'analyse import'!H171*10/omrekenen!J$3,"")</f>
        <v/>
      </c>
      <c r="F170" s="264" t="str">
        <f>IF(D170+C170&gt;0,'analyse import'!I171*10/omrekenen!K$3,"")</f>
        <v/>
      </c>
      <c r="G170" s="73" t="str">
        <f>IF(C170+D170&gt;0,(E170+F170)/'analyse import'!K171,"")</f>
        <v/>
      </c>
      <c r="H170" s="56" t="str">
        <f t="shared" si="120"/>
        <v/>
      </c>
      <c r="I170" s="56" t="str">
        <f t="shared" si="121"/>
        <v/>
      </c>
      <c r="J170" s="56" t="s">
        <v>220</v>
      </c>
      <c r="K170" s="56" t="s">
        <v>220</v>
      </c>
      <c r="L170" s="56" t="s">
        <v>220</v>
      </c>
      <c r="M170" s="56" t="s">
        <v>220</v>
      </c>
      <c r="N170" s="56" t="str">
        <f>IF($C170+D170&gt;0,IF($G170&gt;AA170,"X","-"),"")</f>
        <v/>
      </c>
      <c r="O170" s="56" t="str">
        <f>IF($C170+D170&gt;0,IF($G170&gt;AB170,"X","-"),"")</f>
        <v/>
      </c>
      <c r="P170" s="56" t="s">
        <v>220</v>
      </c>
      <c r="Q170" s="56" t="s">
        <v>220</v>
      </c>
      <c r="R170" s="56" t="s">
        <v>220</v>
      </c>
      <c r="S170" s="56" t="s">
        <v>220</v>
      </c>
      <c r="T170" s="34" t="str">
        <f t="shared" si="122"/>
        <v/>
      </c>
      <c r="V170" s="12">
        <v>6.5000000000000002E-2</v>
      </c>
      <c r="W170" s="12">
        <v>6.5000000000000002E-2</v>
      </c>
      <c r="X170" s="12">
        <v>6.5000000000000002E-2</v>
      </c>
      <c r="AA170" s="12">
        <v>6.5000000000000002E-2</v>
      </c>
      <c r="AB170" s="12">
        <v>0.25</v>
      </c>
      <c r="AF170" s="48"/>
      <c r="AG170" s="12">
        <f>IF(V170+W170&gt;X170,X170,V170+W170)</f>
        <v>6.5000000000000002E-2</v>
      </c>
      <c r="AI170" s="99">
        <f>'analyse import'!J171</f>
        <v>0</v>
      </c>
      <c r="AK170" s="12">
        <f t="shared" si="110"/>
        <v>0</v>
      </c>
    </row>
    <row r="171" spans="1:37">
      <c r="B171" s="11" t="s">
        <v>187</v>
      </c>
      <c r="C171" s="142">
        <f>'analyse import'!H172</f>
        <v>0</v>
      </c>
      <c r="D171" s="142">
        <f>'analyse import'!I172</f>
        <v>0</v>
      </c>
      <c r="E171" s="263" t="str">
        <f>IF(C171+D171&gt;0,'analyse import'!H172*10/omrekenen!J$3,"")</f>
        <v/>
      </c>
      <c r="F171" s="264" t="str">
        <f>IF(D171+C171&gt;0,'analyse import'!I172*10/omrekenen!K$3,"")</f>
        <v/>
      </c>
      <c r="G171" s="73" t="str">
        <f>IF(C171+D171&gt;0,(E171+F171)/'analyse import'!K172,"")</f>
        <v/>
      </c>
      <c r="H171" s="56" t="s">
        <v>220</v>
      </c>
      <c r="I171" s="56" t="s">
        <v>220</v>
      </c>
      <c r="J171" s="56" t="s">
        <v>220</v>
      </c>
      <c r="K171" s="56" t="s">
        <v>220</v>
      </c>
      <c r="L171" s="56" t="s">
        <v>220</v>
      </c>
      <c r="M171" s="56" t="s">
        <v>220</v>
      </c>
      <c r="N171" s="56" t="s">
        <v>220</v>
      </c>
      <c r="O171" s="56" t="s">
        <v>220</v>
      </c>
      <c r="P171" s="56" t="s">
        <v>220</v>
      </c>
      <c r="Q171" s="56" t="s">
        <v>220</v>
      </c>
      <c r="R171" s="56" t="s">
        <v>220</v>
      </c>
      <c r="S171" s="56" t="str">
        <f t="shared" ref="S171:S172" si="123">IF($C171+D171&gt;0,IF($G171&gt;AF171,"X","-"),"")</f>
        <v/>
      </c>
      <c r="T171" s="34" t="str">
        <f t="shared" si="122"/>
        <v/>
      </c>
      <c r="AF171" s="48">
        <v>0.25</v>
      </c>
      <c r="AI171" s="99">
        <f>'analyse import'!J172</f>
        <v>0</v>
      </c>
      <c r="AK171" s="12">
        <f t="shared" si="110"/>
        <v>0</v>
      </c>
    </row>
    <row r="172" spans="1:37">
      <c r="B172" s="11" t="s">
        <v>197</v>
      </c>
      <c r="C172" s="142">
        <f>'analyse import'!H173</f>
        <v>0</v>
      </c>
      <c r="D172" s="142">
        <f>'analyse import'!I173</f>
        <v>0</v>
      </c>
      <c r="E172" s="263" t="str">
        <f>IF(C172+D172&gt;0,'analyse import'!H173*10/omrekenen!J$3,"")</f>
        <v/>
      </c>
      <c r="F172" s="264" t="str">
        <f>IF(D172+C172&gt;0,'analyse import'!I173*10/omrekenen!K$3,"")</f>
        <v/>
      </c>
      <c r="G172" s="73" t="str">
        <f>IF(C172+D172&gt;0,(E172+F172)/'analyse import'!K173,"")</f>
        <v/>
      </c>
      <c r="H172" s="56" t="s">
        <v>220</v>
      </c>
      <c r="I172" s="56" t="s">
        <v>220</v>
      </c>
      <c r="J172" s="56" t="s">
        <v>220</v>
      </c>
      <c r="K172" s="56" t="s">
        <v>220</v>
      </c>
      <c r="L172" s="56" t="s">
        <v>220</v>
      </c>
      <c r="M172" s="56" t="s">
        <v>220</v>
      </c>
      <c r="N172" s="56" t="s">
        <v>220</v>
      </c>
      <c r="O172" s="56" t="s">
        <v>220</v>
      </c>
      <c r="P172" s="56" t="s">
        <v>220</v>
      </c>
      <c r="Q172" s="56" t="s">
        <v>220</v>
      </c>
      <c r="R172" s="56" t="s">
        <v>220</v>
      </c>
      <c r="S172" s="56" t="str">
        <f t="shared" si="123"/>
        <v/>
      </c>
      <c r="T172" s="34" t="str">
        <f t="shared" si="122"/>
        <v/>
      </c>
      <c r="AF172" s="48">
        <v>0.115</v>
      </c>
      <c r="AI172" s="99">
        <f>'analyse import'!J173</f>
        <v>0</v>
      </c>
      <c r="AK172" s="12">
        <f t="shared" si="110"/>
        <v>0</v>
      </c>
    </row>
    <row r="173" spans="1:37">
      <c r="C173" s="12"/>
      <c r="D173" s="12"/>
      <c r="E173" s="281"/>
      <c r="F173" s="277"/>
      <c r="G173" s="71"/>
      <c r="AF173" s="12"/>
      <c r="AI173" s="99">
        <v>0</v>
      </c>
      <c r="AK173" s="12"/>
    </row>
    <row r="174" spans="1:37">
      <c r="A174" s="10" t="s">
        <v>76</v>
      </c>
      <c r="B174" s="35" t="s">
        <v>116</v>
      </c>
      <c r="C174" s="33" t="s">
        <v>5</v>
      </c>
      <c r="D174" s="33" t="s">
        <v>5</v>
      </c>
      <c r="E174" s="282" t="s">
        <v>5</v>
      </c>
      <c r="F174" s="274" t="s">
        <v>5</v>
      </c>
      <c r="G174" s="72" t="s">
        <v>5</v>
      </c>
      <c r="H174" s="33" t="s">
        <v>229</v>
      </c>
      <c r="I174" s="33" t="s">
        <v>228</v>
      </c>
      <c r="J174" s="33" t="s">
        <v>227</v>
      </c>
      <c r="K174" s="33" t="s">
        <v>232</v>
      </c>
      <c r="L174" s="33" t="s">
        <v>267</v>
      </c>
      <c r="M174" s="33" t="s">
        <v>234</v>
      </c>
      <c r="N174" s="33" t="s">
        <v>230</v>
      </c>
      <c r="O174" s="33" t="s">
        <v>170</v>
      </c>
      <c r="P174" s="33" t="s">
        <v>171</v>
      </c>
      <c r="Q174" s="33" t="s">
        <v>231</v>
      </c>
      <c r="R174" s="33" t="s">
        <v>233</v>
      </c>
      <c r="S174" s="33" t="s">
        <v>185</v>
      </c>
      <c r="T174" s="116" t="s">
        <v>272</v>
      </c>
      <c r="V174" s="283" t="s">
        <v>198</v>
      </c>
      <c r="W174" s="283" t="s">
        <v>169</v>
      </c>
      <c r="X174" s="283" t="s">
        <v>67</v>
      </c>
      <c r="Y174" s="283" t="s">
        <v>173</v>
      </c>
      <c r="Z174" s="283" t="s">
        <v>174</v>
      </c>
      <c r="AA174" s="283"/>
      <c r="AB174" s="283" t="s">
        <v>170</v>
      </c>
      <c r="AC174" s="283" t="s">
        <v>171</v>
      </c>
      <c r="AD174" s="283" t="s">
        <v>172</v>
      </c>
      <c r="AE174" s="283" t="s">
        <v>175</v>
      </c>
      <c r="AF174" s="283" t="s">
        <v>185</v>
      </c>
      <c r="AG174" s="251"/>
      <c r="AH174" s="251"/>
      <c r="AI174" s="99">
        <f>AI175</f>
        <v>0</v>
      </c>
      <c r="AK174" s="12"/>
    </row>
    <row r="175" spans="1:37">
      <c r="B175" s="11" t="s">
        <v>117</v>
      </c>
      <c r="C175" s="142">
        <f>'analyse import'!H176</f>
        <v>0</v>
      </c>
      <c r="D175" s="142">
        <f>'analyse import'!I176</f>
        <v>0</v>
      </c>
      <c r="E175" s="263" t="str">
        <f>IF(C175+D175&gt;0,'analyse import'!H176*10/omrekenen!J$3,"")</f>
        <v/>
      </c>
      <c r="F175" s="264" t="str">
        <f>IF(D175+C175&gt;0,'analyse import'!I176*10/omrekenen!K$3,"")</f>
        <v/>
      </c>
      <c r="G175" s="73" t="str">
        <f>IF(C175+D175&gt;0,(E175+F175)/'analyse import'!K176,"")</f>
        <v/>
      </c>
      <c r="H175" s="56" t="str">
        <f>IF($C175+$D175&gt;0,IF($G175&gt;2*V175,"2x",IF($G175&gt;V175,"X","-")),"")</f>
        <v/>
      </c>
      <c r="I175" s="56" t="str">
        <f>IF($C175+D175&gt;0,IF($G175&gt;AG175,"@",IF(G175&gt;W175,"X","-")),"")</f>
        <v/>
      </c>
      <c r="J175" s="56" t="str">
        <f>IF($C175+D175&gt;0,IF($G175&gt;X175,"X","-"),"")</f>
        <v/>
      </c>
      <c r="K175" s="56" t="str">
        <f>IF($C175+D175&gt;0,IF($G175&gt;Y175,"X","-"),"")</f>
        <v/>
      </c>
      <c r="L175" s="56" t="str">
        <f>IF($C175+D175&gt;0,IF($G175&gt;AH175,"X","-"),"")</f>
        <v/>
      </c>
      <c r="M175" s="56" t="s">
        <v>220</v>
      </c>
      <c r="N175" s="56" t="str">
        <f>IF($C175+D175&gt;0,IF($G175&gt;AA175,"X","-"),"")</f>
        <v/>
      </c>
      <c r="O175" s="56" t="s">
        <v>220</v>
      </c>
      <c r="P175" s="56" t="str">
        <f>IF($C175+D175&gt;0,IF($G175&gt;AC175,"X","-"),"")</f>
        <v/>
      </c>
      <c r="Q175" s="56" t="str">
        <f>IF($C175+D175&gt;0,IF($G175&gt;AD175,"X","-"),"")</f>
        <v/>
      </c>
      <c r="R175" s="56" t="s">
        <v>220</v>
      </c>
      <c r="S175" s="56" t="s">
        <v>220</v>
      </c>
      <c r="T175" s="34" t="str">
        <f>IF(C175*D175&gt;0,MAX(C175:D175)/MIN(C175:D175),"")</f>
        <v/>
      </c>
      <c r="V175" s="12">
        <v>0.55000000000000004</v>
      </c>
      <c r="W175" s="12">
        <v>0.55000000000000004</v>
      </c>
      <c r="X175" s="12">
        <v>0.55000000000000004</v>
      </c>
      <c r="Y175" s="12">
        <v>4</v>
      </c>
      <c r="AA175" s="12">
        <v>0.55000000000000004</v>
      </c>
      <c r="AC175" s="12">
        <v>4</v>
      </c>
      <c r="AD175" s="12">
        <f>AC175</f>
        <v>4</v>
      </c>
      <c r="AF175" s="12"/>
      <c r="AG175" s="12">
        <f>IF(V175+W175&gt;X175,X175,V175+W175)</f>
        <v>0.55000000000000004</v>
      </c>
      <c r="AH175" s="12">
        <f>(V175+Y175)/2</f>
        <v>2.2749999999999999</v>
      </c>
      <c r="AI175" s="99">
        <f>'analyse import'!J176</f>
        <v>0</v>
      </c>
      <c r="AK175" s="12">
        <f t="shared" si="110"/>
        <v>0</v>
      </c>
    </row>
    <row r="176" spans="1:37">
      <c r="C176" s="12"/>
      <c r="D176" s="12"/>
      <c r="E176" s="276"/>
      <c r="F176" s="277"/>
      <c r="G176" s="71"/>
      <c r="Q176" s="56" t="str">
        <f t="shared" ref="Q176" si="124">IF($C176&gt;0,IF($G176&gt;AD176,"X","-"),"")</f>
        <v/>
      </c>
      <c r="AF176" s="12"/>
      <c r="AI176" s="99">
        <v>0</v>
      </c>
      <c r="AK176" s="12"/>
    </row>
    <row r="177" spans="1:37">
      <c r="A177" s="10" t="s">
        <v>86</v>
      </c>
      <c r="B177" s="35" t="s">
        <v>118</v>
      </c>
      <c r="C177" s="33" t="s">
        <v>5</v>
      </c>
      <c r="D177" s="33" t="s">
        <v>5</v>
      </c>
      <c r="E177" s="273" t="s">
        <v>5</v>
      </c>
      <c r="F177" s="274" t="s">
        <v>5</v>
      </c>
      <c r="G177" s="72" t="s">
        <v>5</v>
      </c>
      <c r="H177" s="33" t="s">
        <v>229</v>
      </c>
      <c r="I177" s="33" t="s">
        <v>228</v>
      </c>
      <c r="J177" s="33" t="s">
        <v>227</v>
      </c>
      <c r="K177" s="33" t="s">
        <v>232</v>
      </c>
      <c r="L177" s="33" t="s">
        <v>267</v>
      </c>
      <c r="M177" s="33" t="s">
        <v>234</v>
      </c>
      <c r="N177" s="33" t="s">
        <v>230</v>
      </c>
      <c r="O177" s="33" t="s">
        <v>170</v>
      </c>
      <c r="P177" s="33" t="s">
        <v>171</v>
      </c>
      <c r="Q177" s="33" t="s">
        <v>231</v>
      </c>
      <c r="R177" s="33" t="s">
        <v>233</v>
      </c>
      <c r="S177" s="33" t="s">
        <v>185</v>
      </c>
      <c r="T177" s="116" t="s">
        <v>272</v>
      </c>
      <c r="AF177" s="12"/>
      <c r="AI177" s="99">
        <f>IF(SUM(AI178:AI182)&gt;0,1,0)</f>
        <v>0</v>
      </c>
      <c r="AK177" s="12"/>
    </row>
    <row r="178" spans="1:37">
      <c r="B178" s="11" t="s">
        <v>119</v>
      </c>
      <c r="C178" s="142">
        <f>'analyse import'!H179</f>
        <v>0</v>
      </c>
      <c r="D178" s="142">
        <f>'analyse import'!I179</f>
        <v>0</v>
      </c>
      <c r="E178" s="263" t="str">
        <f>IF(C178+D178&gt;0,'analyse import'!H179*10/omrekenen!J$3,"")</f>
        <v/>
      </c>
      <c r="F178" s="264" t="str">
        <f>IF(D178+C178&gt;0,'analyse import'!I179*10/omrekenen!K$3,"")</f>
        <v/>
      </c>
      <c r="G178" s="73" t="str">
        <f>IF(C178+D178&gt;0,(E178+F178)/'analyse import'!K179,"")</f>
        <v/>
      </c>
      <c r="H178" s="56" t="str">
        <f t="shared" ref="H178:H182" si="125">IF($C178+$D178&gt;0,IF($G178&gt;2*V178,"2x",IF($G178&gt;V178,"X","-")),"")</f>
        <v/>
      </c>
      <c r="I178" s="56" t="str">
        <f t="shared" ref="I178:I182" si="126">IF($C178+D178&gt;0,IF($G178&gt;AG178,"@",IF(G178&gt;W178,"X","-")),"")</f>
        <v/>
      </c>
      <c r="J178" s="56" t="str">
        <f t="shared" ref="J178:J182" si="127">IF($C178+D178&gt;0,IF($G178&gt;X178,"X","-"),"")</f>
        <v/>
      </c>
      <c r="K178" s="56" t="str">
        <f t="shared" ref="K178:K180" si="128">IF($C178+D178&gt;0,IF($G178&gt;Y178,"X","-"),"")</f>
        <v/>
      </c>
      <c r="L178" s="56" t="str">
        <f t="shared" ref="L178:L180" si="129">IF($C178+D178&gt;0,IF($G178&gt;AH178,"X","-"),"")</f>
        <v/>
      </c>
      <c r="M178" s="56" t="s">
        <v>220</v>
      </c>
      <c r="N178" s="56" t="str">
        <f t="shared" ref="N178:N182" si="130">IF($C178+D178&gt;0,IF($G178&gt;AA178,"X","-"),"")</f>
        <v/>
      </c>
      <c r="O178" s="56" t="s">
        <v>220</v>
      </c>
      <c r="P178" s="56" t="str">
        <f t="shared" ref="P178:P180" si="131">IF($C178+D178&gt;0,IF($G178&gt;AC178,"X","-"),"")</f>
        <v/>
      </c>
      <c r="Q178" s="56" t="str">
        <f t="shared" ref="Q178:Q180" si="132">IF($C178+D178&gt;0,IF($G178&gt;AD178,"X","-"),"")</f>
        <v/>
      </c>
      <c r="R178" s="56" t="s">
        <v>220</v>
      </c>
      <c r="S178" s="56" t="s">
        <v>220</v>
      </c>
      <c r="T178" s="34" t="str">
        <f t="shared" ref="T178:T182" si="133">IF(C178*D178&gt;0,MAX(C178:D178)/MIN(C178:D178),"")</f>
        <v/>
      </c>
      <c r="V178" s="12">
        <v>3.5000000000000003E-2</v>
      </c>
      <c r="W178" s="12">
        <f>V178</f>
        <v>3.5000000000000003E-2</v>
      </c>
      <c r="X178" s="12">
        <v>0.5</v>
      </c>
      <c r="Y178" s="12">
        <v>0.71</v>
      </c>
      <c r="AA178" s="12">
        <f>V178</f>
        <v>3.5000000000000003E-2</v>
      </c>
      <c r="AC178" s="12">
        <v>6</v>
      </c>
      <c r="AD178" s="12">
        <f>AC178</f>
        <v>6</v>
      </c>
      <c r="AF178" s="12"/>
      <c r="AG178" s="12">
        <f>IF(V178+W178&gt;X178,X178,V178+W178)</f>
        <v>7.0000000000000007E-2</v>
      </c>
      <c r="AH178" s="12">
        <f>(V178+Y178)/2</f>
        <v>0.3725</v>
      </c>
      <c r="AI178" s="99">
        <f>'analyse import'!J179</f>
        <v>0</v>
      </c>
      <c r="AK178" s="12">
        <f t="shared" si="110"/>
        <v>0</v>
      </c>
    </row>
    <row r="179" spans="1:37">
      <c r="B179" s="11" t="s">
        <v>120</v>
      </c>
      <c r="C179" s="142">
        <f>'analyse import'!H180</f>
        <v>0</v>
      </c>
      <c r="D179" s="142">
        <f>'analyse import'!I180</f>
        <v>0</v>
      </c>
      <c r="E179" s="263" t="str">
        <f>IF(C179+D179&gt;0,'analyse import'!H180*10/omrekenen!J$3,"")</f>
        <v/>
      </c>
      <c r="F179" s="264" t="str">
        <f>IF(D179+C179&gt;0,'analyse import'!I180*10/omrekenen!K$3,"")</f>
        <v/>
      </c>
      <c r="G179" s="73" t="str">
        <f>IF(C179+D179&gt;0,(E179+F179)/'analyse import'!K180,"")</f>
        <v/>
      </c>
      <c r="H179" s="56" t="str">
        <f t="shared" si="125"/>
        <v/>
      </c>
      <c r="I179" s="56" t="str">
        <f t="shared" si="126"/>
        <v/>
      </c>
      <c r="J179" s="56" t="str">
        <f t="shared" si="127"/>
        <v/>
      </c>
      <c r="K179" s="56" t="str">
        <f t="shared" si="128"/>
        <v/>
      </c>
      <c r="L179" s="56" t="str">
        <f t="shared" si="129"/>
        <v/>
      </c>
      <c r="M179" s="56" t="s">
        <v>220</v>
      </c>
      <c r="N179" s="56" t="str">
        <f t="shared" si="130"/>
        <v/>
      </c>
      <c r="O179" s="56" t="s">
        <v>220</v>
      </c>
      <c r="P179" s="56" t="str">
        <f t="shared" si="131"/>
        <v/>
      </c>
      <c r="Q179" s="56" t="str">
        <f t="shared" si="132"/>
        <v/>
      </c>
      <c r="R179" s="56" t="s">
        <v>220</v>
      </c>
      <c r="S179" s="56" t="s">
        <v>220</v>
      </c>
      <c r="T179" s="34" t="str">
        <f t="shared" si="133"/>
        <v/>
      </c>
      <c r="V179" s="12">
        <v>0.15</v>
      </c>
      <c r="W179" s="12">
        <f>V179</f>
        <v>0.15</v>
      </c>
      <c r="X179" s="12">
        <v>0.45</v>
      </c>
      <c r="Y179" s="12">
        <v>0.45</v>
      </c>
      <c r="AA179" s="12">
        <f>V179</f>
        <v>0.15</v>
      </c>
      <c r="AC179" s="12">
        <v>5</v>
      </c>
      <c r="AD179" s="12">
        <f>AC179</f>
        <v>5</v>
      </c>
      <c r="AF179" s="12"/>
      <c r="AG179" s="12">
        <f>IF(V179+W179&gt;X179,X179,V179+W179)</f>
        <v>0.3</v>
      </c>
      <c r="AH179" s="12">
        <f>(V179+Y179)/2</f>
        <v>0.3</v>
      </c>
      <c r="AI179" s="99">
        <f>'analyse import'!J180</f>
        <v>0</v>
      </c>
      <c r="AK179" s="12">
        <f t="shared" si="110"/>
        <v>0</v>
      </c>
    </row>
    <row r="180" spans="1:37">
      <c r="B180" s="11" t="s">
        <v>121</v>
      </c>
      <c r="C180" s="142">
        <f>'analyse import'!H181</f>
        <v>0</v>
      </c>
      <c r="D180" s="142">
        <f>'analyse import'!I181</f>
        <v>0</v>
      </c>
      <c r="E180" s="263" t="str">
        <f>IF(C180+D180&gt;0,'analyse import'!H181*10/omrekenen!J$3,"")</f>
        <v/>
      </c>
      <c r="F180" s="264" t="str">
        <f>IF(D180+C180&gt;0,'analyse import'!I181*10/omrekenen!K$3,"")</f>
        <v/>
      </c>
      <c r="G180" s="73" t="str">
        <f>IF(C180+D180&gt;0,(E180+F180)/'analyse import'!K181,"")</f>
        <v/>
      </c>
      <c r="H180" s="56" t="str">
        <f t="shared" si="125"/>
        <v/>
      </c>
      <c r="I180" s="56" t="str">
        <f t="shared" si="126"/>
        <v/>
      </c>
      <c r="J180" s="56" t="str">
        <f t="shared" si="127"/>
        <v/>
      </c>
      <c r="K180" s="56" t="str">
        <f t="shared" si="128"/>
        <v/>
      </c>
      <c r="L180" s="56" t="str">
        <f t="shared" si="129"/>
        <v/>
      </c>
      <c r="M180" s="56" t="s">
        <v>220</v>
      </c>
      <c r="N180" s="56" t="str">
        <f t="shared" si="130"/>
        <v/>
      </c>
      <c r="O180" s="56" t="s">
        <v>220</v>
      </c>
      <c r="P180" s="56" t="str">
        <f t="shared" si="131"/>
        <v/>
      </c>
      <c r="Q180" s="56" t="str">
        <f t="shared" si="132"/>
        <v/>
      </c>
      <c r="R180" s="56" t="s">
        <v>220</v>
      </c>
      <c r="S180" s="56" t="s">
        <v>220</v>
      </c>
      <c r="T180" s="34" t="str">
        <f t="shared" si="133"/>
        <v/>
      </c>
      <c r="V180" s="12">
        <v>1.7000000000000001E-2</v>
      </c>
      <c r="W180" s="12">
        <f>V180</f>
        <v>1.7000000000000001E-2</v>
      </c>
      <c r="X180" s="12">
        <v>1.7000000000000001E-2</v>
      </c>
      <c r="Y180" s="12">
        <v>1.7000000000000001E-2</v>
      </c>
      <c r="AA180" s="12">
        <f>V180</f>
        <v>1.7000000000000001E-2</v>
      </c>
      <c r="AC180" s="12">
        <v>2</v>
      </c>
      <c r="AD180" s="12">
        <f>AC180</f>
        <v>2</v>
      </c>
      <c r="AF180" s="12"/>
      <c r="AG180" s="12">
        <f>IF(V180+W180&gt;X180,X180,V180+W180)</f>
        <v>1.7000000000000001E-2</v>
      </c>
      <c r="AH180" s="12">
        <f>(V180+Y180)/2</f>
        <v>1.7000000000000001E-2</v>
      </c>
      <c r="AI180" s="99">
        <f>'analyse import'!J181</f>
        <v>0</v>
      </c>
      <c r="AK180" s="12">
        <f t="shared" si="110"/>
        <v>0</v>
      </c>
    </row>
    <row r="181" spans="1:37">
      <c r="B181" s="11" t="s">
        <v>122</v>
      </c>
      <c r="C181" s="142">
        <f>'analyse import'!H182</f>
        <v>0</v>
      </c>
      <c r="D181" s="142">
        <f>'analyse import'!I182</f>
        <v>0</v>
      </c>
      <c r="E181" s="263" t="str">
        <f>IF(C181+D181&gt;0,'analyse import'!H182*10/omrekenen!J$3,"")</f>
        <v/>
      </c>
      <c r="F181" s="264" t="str">
        <f>IF(D181+C181&gt;0,'analyse import'!I182*10/omrekenen!K$3,"")</f>
        <v/>
      </c>
      <c r="G181" s="73" t="str">
        <f>IF(C181+D181&gt;0,(E181+F181)/'analyse import'!K182,"")</f>
        <v/>
      </c>
      <c r="H181" s="56" t="str">
        <f t="shared" si="125"/>
        <v/>
      </c>
      <c r="I181" s="56" t="str">
        <f t="shared" si="126"/>
        <v/>
      </c>
      <c r="J181" s="56" t="str">
        <f t="shared" si="127"/>
        <v/>
      </c>
      <c r="K181" s="56" t="s">
        <v>220</v>
      </c>
      <c r="L181" s="56" t="s">
        <v>220</v>
      </c>
      <c r="M181" s="56" t="s">
        <v>220</v>
      </c>
      <c r="N181" s="56" t="str">
        <f t="shared" si="130"/>
        <v/>
      </c>
      <c r="O181" s="56" t="s">
        <v>220</v>
      </c>
      <c r="P181" s="56" t="s">
        <v>220</v>
      </c>
      <c r="Q181" s="56" t="s">
        <v>220</v>
      </c>
      <c r="R181" s="56" t="s">
        <v>220</v>
      </c>
      <c r="S181" s="56" t="s">
        <v>220</v>
      </c>
      <c r="T181" s="34" t="str">
        <f t="shared" si="133"/>
        <v/>
      </c>
      <c r="V181" s="12">
        <v>0.6</v>
      </c>
      <c r="W181" s="12">
        <f>V181</f>
        <v>0.6</v>
      </c>
      <c r="X181" s="12">
        <v>0.6</v>
      </c>
      <c r="AA181" s="12">
        <f>V181</f>
        <v>0.6</v>
      </c>
      <c r="AF181" s="12"/>
      <c r="AG181" s="12">
        <f>IF(V181+W181&gt;X181,X181,V181+W181)</f>
        <v>0.6</v>
      </c>
      <c r="AH181" s="12">
        <f>(V181+Y181)/2</f>
        <v>0.3</v>
      </c>
      <c r="AI181" s="99">
        <f>'analyse import'!J182</f>
        <v>0</v>
      </c>
      <c r="AK181" s="12">
        <f t="shared" si="110"/>
        <v>0</v>
      </c>
    </row>
    <row r="182" spans="1:37">
      <c r="B182" s="11" t="s">
        <v>401</v>
      </c>
      <c r="C182" s="142">
        <f>'analyse import'!H183</f>
        <v>0</v>
      </c>
      <c r="D182" s="142">
        <f>'analyse import'!I183</f>
        <v>0</v>
      </c>
      <c r="E182" s="263" t="str">
        <f>IF(C182+D182&gt;0,'analyse import'!H183*10/omrekenen!J$3,"")</f>
        <v/>
      </c>
      <c r="F182" s="264" t="str">
        <f>IF(D182+C182&gt;0,'analyse import'!I183*10/omrekenen!K$3,"")</f>
        <v/>
      </c>
      <c r="G182" s="73" t="str">
        <f>IF(C182+D182&gt;0,(E182+F182)/'analyse import'!K183,"")</f>
        <v/>
      </c>
      <c r="H182" s="56" t="str">
        <f t="shared" si="125"/>
        <v/>
      </c>
      <c r="I182" s="56" t="str">
        <f t="shared" si="126"/>
        <v/>
      </c>
      <c r="J182" s="56" t="str">
        <f t="shared" si="127"/>
        <v/>
      </c>
      <c r="K182" s="56" t="s">
        <v>220</v>
      </c>
      <c r="L182" s="56" t="s">
        <v>220</v>
      </c>
      <c r="M182" s="56" t="s">
        <v>220</v>
      </c>
      <c r="N182" s="56" t="str">
        <f t="shared" si="130"/>
        <v/>
      </c>
      <c r="O182" s="56" t="s">
        <v>220</v>
      </c>
      <c r="P182" s="56" t="s">
        <v>220</v>
      </c>
      <c r="Q182" s="56" t="s">
        <v>220</v>
      </c>
      <c r="R182" s="56" t="s">
        <v>220</v>
      </c>
      <c r="S182" s="56" t="s">
        <v>220</v>
      </c>
      <c r="T182" s="34" t="str">
        <f t="shared" si="133"/>
        <v/>
      </c>
      <c r="V182" s="12">
        <v>0.09</v>
      </c>
      <c r="W182" s="12">
        <f>V182</f>
        <v>0.09</v>
      </c>
      <c r="X182" s="12">
        <v>0.5</v>
      </c>
      <c r="AA182" s="12">
        <f>V182</f>
        <v>0.09</v>
      </c>
      <c r="AF182" s="12"/>
      <c r="AG182" s="12">
        <f>IF(V182+W182&gt;X182,X182,V182+W182)</f>
        <v>0.18</v>
      </c>
      <c r="AI182" s="99">
        <f>'analyse import'!J183</f>
        <v>0</v>
      </c>
      <c r="AK182" s="12">
        <f t="shared" si="110"/>
        <v>0</v>
      </c>
    </row>
    <row r="183" spans="1:37">
      <c r="C183" s="12"/>
      <c r="D183" s="12"/>
      <c r="E183" s="276"/>
      <c r="F183" s="277"/>
      <c r="G183" s="71"/>
      <c r="AF183" s="12"/>
      <c r="AI183" s="99">
        <v>0</v>
      </c>
      <c r="AK183" s="12"/>
    </row>
    <row r="184" spans="1:37">
      <c r="A184" s="32">
        <v>7</v>
      </c>
      <c r="B184" s="41" t="s">
        <v>123</v>
      </c>
      <c r="C184" s="33" t="s">
        <v>5</v>
      </c>
      <c r="D184" s="33" t="s">
        <v>5</v>
      </c>
      <c r="E184" s="273" t="s">
        <v>5</v>
      </c>
      <c r="F184" s="274" t="s">
        <v>5</v>
      </c>
      <c r="G184" s="72" t="s">
        <v>5</v>
      </c>
      <c r="H184" s="33" t="s">
        <v>229</v>
      </c>
      <c r="I184" s="33" t="s">
        <v>228</v>
      </c>
      <c r="J184" s="33" t="s">
        <v>227</v>
      </c>
      <c r="K184" s="33" t="s">
        <v>232</v>
      </c>
      <c r="L184" s="33" t="s">
        <v>267</v>
      </c>
      <c r="M184" s="33" t="s">
        <v>234</v>
      </c>
      <c r="N184" s="33" t="s">
        <v>230</v>
      </c>
      <c r="O184" s="33" t="s">
        <v>170</v>
      </c>
      <c r="P184" s="33" t="s">
        <v>171</v>
      </c>
      <c r="Q184" s="33" t="s">
        <v>231</v>
      </c>
      <c r="R184" s="33" t="s">
        <v>233</v>
      </c>
      <c r="S184" s="33" t="s">
        <v>185</v>
      </c>
      <c r="T184" s="116" t="s">
        <v>272</v>
      </c>
      <c r="AF184" s="12"/>
      <c r="AI184" s="45">
        <f>IF(SUM(AI185:AI210)&gt;0,1,0)</f>
        <v>0</v>
      </c>
      <c r="AK184" s="12"/>
    </row>
    <row r="185" spans="1:37">
      <c r="B185" s="11" t="s">
        <v>124</v>
      </c>
      <c r="C185" s="12">
        <f>'analyse import'!H186</f>
        <v>0</v>
      </c>
      <c r="D185" s="12">
        <f>'analyse import'!I186</f>
        <v>0</v>
      </c>
      <c r="E185" s="261" t="str">
        <f>IF(C185+D185&gt;0,'analyse import'!H186,"")</f>
        <v/>
      </c>
      <c r="F185" s="262" t="str">
        <f>IF(C185+D185&gt;0,'analyse import'!I186,"")</f>
        <v/>
      </c>
      <c r="G185" s="247" t="str">
        <f>IF(C185+D185&gt;0,(E185+F185)/'analyse import'!K186,"")</f>
        <v/>
      </c>
      <c r="H185" s="56" t="s">
        <v>220</v>
      </c>
      <c r="I185" s="56" t="s">
        <v>220</v>
      </c>
      <c r="J185" s="56" t="str">
        <f t="shared" ref="J185:J193" si="134">IF($C185+D185&gt;0,IF($G185&gt;X185,"X","-"),"")</f>
        <v/>
      </c>
      <c r="K185" s="56" t="str">
        <f t="shared" ref="K185:K193" si="135">IF($C185+D185&gt;0,IF($G185&gt;Y185,"X","-"),"")</f>
        <v/>
      </c>
      <c r="L185" s="56" t="str">
        <f t="shared" ref="L185:L193" si="136">IF($C185+D185&gt;0,IF($G185&gt;AH185,"X","-"),"")</f>
        <v/>
      </c>
      <c r="M185" s="56" t="s">
        <v>220</v>
      </c>
      <c r="N185" s="56" t="str">
        <f t="shared" ref="N185:N186" si="137">IF($C185+D185&gt;0,IF($G185&gt;AA185,"X","-"),"")</f>
        <v/>
      </c>
      <c r="O185" s="56" t="str">
        <f>IF($C185+D185&gt;0,IF($G185&gt;AB185,"X","-"),"")</f>
        <v/>
      </c>
      <c r="P185" s="56" t="str">
        <f t="shared" ref="P185:P186" si="138">IF($C185+D185&gt;0,IF($G185&gt;AC185,"X","-"),"")</f>
        <v/>
      </c>
      <c r="Q185" s="56" t="str">
        <f t="shared" ref="Q185:Q186" si="139">IF($C185+D185&gt;0,IF($G185&gt;AD185,"X","-"),"")</f>
        <v/>
      </c>
      <c r="R185" s="56" t="s">
        <v>220</v>
      </c>
      <c r="S185" s="56" t="str">
        <f>IF($C185&gt;0,IF($G185&gt;AF185,"X","-"),"")</f>
        <v/>
      </c>
      <c r="T185" s="34" t="str">
        <f t="shared" ref="T185:T210" si="140">IF(C185*D185&gt;0,MAX(C185:D185)/MIN(C185:D185),"")</f>
        <v/>
      </c>
      <c r="V185" s="12">
        <v>100</v>
      </c>
      <c r="W185" s="12">
        <v>100</v>
      </c>
      <c r="X185" s="12">
        <v>100</v>
      </c>
      <c r="Y185" s="12">
        <v>100</v>
      </c>
      <c r="AA185" s="12">
        <v>100</v>
      </c>
      <c r="AB185" s="12">
        <v>100</v>
      </c>
      <c r="AC185" s="12">
        <v>100</v>
      </c>
      <c r="AD185" s="12">
        <f>AC185</f>
        <v>100</v>
      </c>
      <c r="AF185" s="12">
        <v>100</v>
      </c>
      <c r="AG185" s="12">
        <f t="shared" ref="AG185:AG210" si="141">IF(V185+W185&gt;X185,X185,V185+W185)</f>
        <v>100</v>
      </c>
      <c r="AH185" s="12">
        <f t="shared" ref="AH185:AH193" si="142">(V185+Y185)/2</f>
        <v>100</v>
      </c>
      <c r="AI185" s="99">
        <f>'analyse import'!J186</f>
        <v>0</v>
      </c>
      <c r="AK185" s="12">
        <f t="shared" si="110"/>
        <v>0</v>
      </c>
    </row>
    <row r="186" spans="1:37">
      <c r="B186" s="11" t="s">
        <v>125</v>
      </c>
      <c r="C186" s="12">
        <f>'analyse import'!H187</f>
        <v>0</v>
      </c>
      <c r="D186" s="12">
        <f>'analyse import'!I187</f>
        <v>0</v>
      </c>
      <c r="E186" s="263" t="str">
        <f>IF(C186+D186&gt;0,'analyse import'!H187*10/omrekenen!J$3,"")</f>
        <v/>
      </c>
      <c r="F186" s="264" t="str">
        <f>IF(D186+C186&gt;0,'analyse import'!I187*10/omrekenen!K$3,"")</f>
        <v/>
      </c>
      <c r="G186" s="73" t="str">
        <f>IF(C186+D186&gt;0,(E186+F186)/'analyse import'!K187,"")</f>
        <v/>
      </c>
      <c r="H186" s="56" t="str">
        <f t="shared" ref="H186:H193" si="143">IF($C186+$D186&gt;0,IF($G186&gt;2*V186,"2x",IF($G186&gt;V186,"X","-")),"")</f>
        <v/>
      </c>
      <c r="I186" s="56" t="str">
        <f t="shared" ref="I186:I193" si="144">IF($C186+D186&gt;0,IF($G186&gt;AG186,"@",IF(G186&gt;W186,"X","-")),"")</f>
        <v/>
      </c>
      <c r="J186" s="56" t="str">
        <f t="shared" si="134"/>
        <v/>
      </c>
      <c r="K186" s="56" t="str">
        <f t="shared" si="135"/>
        <v/>
      </c>
      <c r="L186" s="56" t="str">
        <f t="shared" si="136"/>
        <v/>
      </c>
      <c r="M186" s="56" t="s">
        <v>220</v>
      </c>
      <c r="N186" s="56" t="str">
        <f t="shared" si="137"/>
        <v/>
      </c>
      <c r="O186" s="56" t="s">
        <v>220</v>
      </c>
      <c r="P186" s="56" t="str">
        <f t="shared" si="138"/>
        <v/>
      </c>
      <c r="Q186" s="56" t="str">
        <f t="shared" si="139"/>
        <v/>
      </c>
      <c r="R186" s="56" t="s">
        <v>220</v>
      </c>
      <c r="S186" s="56" t="s">
        <v>220</v>
      </c>
      <c r="T186" s="34" t="str">
        <f t="shared" si="140"/>
        <v/>
      </c>
      <c r="V186" s="12">
        <v>2</v>
      </c>
      <c r="W186" s="12">
        <v>2</v>
      </c>
      <c r="X186" s="12">
        <v>150</v>
      </c>
      <c r="Y186" s="12">
        <v>150</v>
      </c>
      <c r="AA186" s="12">
        <v>2</v>
      </c>
      <c r="AC186" s="12">
        <v>45</v>
      </c>
      <c r="AD186" s="12">
        <f>AC186</f>
        <v>45</v>
      </c>
      <c r="AF186" s="12"/>
      <c r="AG186" s="12">
        <f t="shared" si="141"/>
        <v>4</v>
      </c>
      <c r="AH186" s="90">
        <f t="shared" si="142"/>
        <v>76</v>
      </c>
      <c r="AI186" s="99">
        <f>'analyse import'!J187</f>
        <v>0</v>
      </c>
      <c r="AK186" s="12">
        <f t="shared" si="110"/>
        <v>0</v>
      </c>
    </row>
    <row r="187" spans="1:37">
      <c r="B187" s="11" t="s">
        <v>126</v>
      </c>
      <c r="C187" s="12">
        <f>'analyse import'!H188</f>
        <v>0</v>
      </c>
      <c r="D187" s="12">
        <f>'analyse import'!I188</f>
        <v>0</v>
      </c>
      <c r="E187" s="263" t="str">
        <f>IF(C187+D187&gt;0,'analyse import'!H188*10/omrekenen!J$3,"")</f>
        <v/>
      </c>
      <c r="F187" s="264" t="str">
        <f>IF(D187+C187&gt;0,'analyse import'!I188*10/omrekenen!K$3,"")</f>
        <v/>
      </c>
      <c r="G187" s="73" t="str">
        <f>IF(C187+D187&gt;0,(E187+F187)/'analyse import'!K188,"")</f>
        <v/>
      </c>
      <c r="H187" s="56" t="str">
        <f t="shared" si="143"/>
        <v/>
      </c>
      <c r="I187" s="56" t="str">
        <f t="shared" si="144"/>
        <v/>
      </c>
      <c r="J187" s="56" t="str">
        <f t="shared" si="134"/>
        <v/>
      </c>
      <c r="K187" s="56" t="str">
        <f t="shared" si="135"/>
        <v/>
      </c>
      <c r="L187" s="56" t="str">
        <f t="shared" si="136"/>
        <v/>
      </c>
      <c r="M187" s="56" t="s">
        <v>220</v>
      </c>
      <c r="N187" s="56" t="s">
        <v>220</v>
      </c>
      <c r="O187" s="56" t="s">
        <v>220</v>
      </c>
      <c r="P187" s="56" t="s">
        <v>220</v>
      </c>
      <c r="Q187" s="56" t="s">
        <v>220</v>
      </c>
      <c r="R187" s="56" t="s">
        <v>220</v>
      </c>
      <c r="S187" s="56" t="s">
        <v>220</v>
      </c>
      <c r="T187" s="34" t="str">
        <f t="shared" si="140"/>
        <v/>
      </c>
      <c r="V187" s="12">
        <v>4.4999999999999998E-2</v>
      </c>
      <c r="W187" s="12">
        <v>9.1999999999999993</v>
      </c>
      <c r="X187" s="12">
        <v>60</v>
      </c>
      <c r="Y187" s="12">
        <v>82</v>
      </c>
      <c r="AF187" s="12"/>
      <c r="AG187" s="12">
        <f t="shared" si="141"/>
        <v>9.2449999999999992</v>
      </c>
      <c r="AH187" s="90">
        <f t="shared" si="142"/>
        <v>41.022500000000001</v>
      </c>
      <c r="AI187" s="99">
        <f>'analyse import'!J188</f>
        <v>0</v>
      </c>
      <c r="AK187" s="12">
        <f t="shared" si="110"/>
        <v>0</v>
      </c>
    </row>
    <row r="188" spans="1:37">
      <c r="B188" s="11" t="s">
        <v>127</v>
      </c>
      <c r="C188" s="12">
        <f>'analyse import'!H189</f>
        <v>0</v>
      </c>
      <c r="D188" s="12">
        <f>'analyse import'!I189</f>
        <v>0</v>
      </c>
      <c r="E188" s="263" t="str">
        <f>IF(C188+D188&gt;0,'analyse import'!H189*10/omrekenen!J$3,"")</f>
        <v/>
      </c>
      <c r="F188" s="264" t="str">
        <f>IF(D188+C188&gt;0,'analyse import'!I189*10/omrekenen!K$3,"")</f>
        <v/>
      </c>
      <c r="G188" s="73" t="str">
        <f>IF(C188+D188&gt;0,(E188+F188)/'analyse import'!K189,"")</f>
        <v/>
      </c>
      <c r="H188" s="56" t="str">
        <f t="shared" si="143"/>
        <v/>
      </c>
      <c r="I188" s="56" t="str">
        <f t="shared" si="144"/>
        <v/>
      </c>
      <c r="J188" s="56" t="str">
        <f t="shared" si="134"/>
        <v/>
      </c>
      <c r="K188" s="56" t="str">
        <f t="shared" si="135"/>
        <v/>
      </c>
      <c r="L188" s="56" t="str">
        <f t="shared" si="136"/>
        <v/>
      </c>
      <c r="M188" s="56" t="s">
        <v>220</v>
      </c>
      <c r="N188" s="56" t="s">
        <v>220</v>
      </c>
      <c r="O188" s="56" t="s">
        <v>220</v>
      </c>
      <c r="P188" s="56" t="s">
        <v>220</v>
      </c>
      <c r="Q188" s="56" t="s">
        <v>220</v>
      </c>
      <c r="R188" s="56" t="s">
        <v>220</v>
      </c>
      <c r="S188" s="56" t="s">
        <v>220</v>
      </c>
      <c r="T188" s="34" t="str">
        <f t="shared" si="140"/>
        <v/>
      </c>
      <c r="V188" s="12">
        <v>4.4999999999999998E-2</v>
      </c>
      <c r="W188" s="12">
        <v>5.3</v>
      </c>
      <c r="X188" s="12">
        <v>53</v>
      </c>
      <c r="Y188" s="12">
        <v>53</v>
      </c>
      <c r="AF188" s="12"/>
      <c r="AG188" s="12">
        <f t="shared" si="141"/>
        <v>5.3449999999999998</v>
      </c>
      <c r="AH188" s="90">
        <f t="shared" si="142"/>
        <v>26.522500000000001</v>
      </c>
      <c r="AI188" s="99">
        <f>'analyse import'!J189</f>
        <v>0</v>
      </c>
      <c r="AK188" s="12">
        <f t="shared" si="110"/>
        <v>0</v>
      </c>
    </row>
    <row r="189" spans="1:37">
      <c r="B189" s="11" t="s">
        <v>128</v>
      </c>
      <c r="C189" s="12">
        <f>'analyse import'!H190</f>
        <v>0</v>
      </c>
      <c r="D189" s="12">
        <f>'analyse import'!I190</f>
        <v>0</v>
      </c>
      <c r="E189" s="263" t="str">
        <f>IF(C189+D189&gt;0,'analyse import'!H190*10/omrekenen!J$3,"")</f>
        <v/>
      </c>
      <c r="F189" s="264" t="str">
        <f>IF(D189+C189&gt;0,'analyse import'!I190*10/omrekenen!K$3,"")</f>
        <v/>
      </c>
      <c r="G189" s="73" t="str">
        <f>IF(C189+D189&gt;0,(E189+F189)/'analyse import'!K190,"")</f>
        <v/>
      </c>
      <c r="H189" s="56" t="str">
        <f t="shared" si="143"/>
        <v/>
      </c>
      <c r="I189" s="56" t="str">
        <f t="shared" si="144"/>
        <v/>
      </c>
      <c r="J189" s="56" t="str">
        <f t="shared" si="134"/>
        <v/>
      </c>
      <c r="K189" s="56" t="str">
        <f t="shared" si="135"/>
        <v/>
      </c>
      <c r="L189" s="56" t="str">
        <f t="shared" si="136"/>
        <v/>
      </c>
      <c r="M189" s="56" t="s">
        <v>220</v>
      </c>
      <c r="N189" s="56" t="s">
        <v>220</v>
      </c>
      <c r="O189" s="56" t="s">
        <v>220</v>
      </c>
      <c r="P189" s="56" t="s">
        <v>220</v>
      </c>
      <c r="Q189" s="56" t="s">
        <v>220</v>
      </c>
      <c r="R189" s="56" t="s">
        <v>220</v>
      </c>
      <c r="S189" s="56" t="s">
        <v>220</v>
      </c>
      <c r="T189" s="34" t="str">
        <f t="shared" si="140"/>
        <v/>
      </c>
      <c r="V189" s="12">
        <v>4.4999999999999998E-2</v>
      </c>
      <c r="W189" s="12">
        <v>1.3</v>
      </c>
      <c r="X189" s="12">
        <v>17</v>
      </c>
      <c r="Y189" s="12">
        <v>17</v>
      </c>
      <c r="AF189" s="12"/>
      <c r="AG189" s="12">
        <f t="shared" si="141"/>
        <v>1.345</v>
      </c>
      <c r="AH189" s="90">
        <f t="shared" si="142"/>
        <v>8.5225000000000009</v>
      </c>
      <c r="AI189" s="99">
        <f>'analyse import'!J190</f>
        <v>0</v>
      </c>
      <c r="AK189" s="12">
        <f t="shared" si="110"/>
        <v>0</v>
      </c>
    </row>
    <row r="190" spans="1:37">
      <c r="B190" s="11" t="s">
        <v>129</v>
      </c>
      <c r="C190" s="12">
        <f>'analyse import'!H191</f>
        <v>0</v>
      </c>
      <c r="D190" s="12">
        <f>'analyse import'!I191</f>
        <v>0</v>
      </c>
      <c r="E190" s="263" t="str">
        <f>IF(C190+D190&gt;0,'analyse import'!H191*10/omrekenen!J$3,"")</f>
        <v/>
      </c>
      <c r="F190" s="264" t="str">
        <f>IF(D190+C190&gt;0,'analyse import'!I191*10/omrekenen!K$3,"")</f>
        <v/>
      </c>
      <c r="G190" s="73" t="str">
        <f>IF(C190+D190&gt;0,(E190+F190)/'analyse import'!K191,"")</f>
        <v/>
      </c>
      <c r="H190" s="56" t="str">
        <f t="shared" si="143"/>
        <v/>
      </c>
      <c r="I190" s="56" t="str">
        <f t="shared" si="144"/>
        <v/>
      </c>
      <c r="J190" s="56" t="str">
        <f t="shared" si="134"/>
        <v/>
      </c>
      <c r="K190" s="56" t="str">
        <f t="shared" si="135"/>
        <v/>
      </c>
      <c r="L190" s="56" t="str">
        <f t="shared" si="136"/>
        <v/>
      </c>
      <c r="M190" s="56" t="s">
        <v>220</v>
      </c>
      <c r="N190" s="56" t="s">
        <v>220</v>
      </c>
      <c r="O190" s="56" t="s">
        <v>220</v>
      </c>
      <c r="P190" s="56" t="s">
        <v>220</v>
      </c>
      <c r="Q190" s="56" t="s">
        <v>220</v>
      </c>
      <c r="R190" s="56" t="s">
        <v>220</v>
      </c>
      <c r="S190" s="56" t="s">
        <v>220</v>
      </c>
      <c r="T190" s="34" t="str">
        <f t="shared" si="140"/>
        <v/>
      </c>
      <c r="V190" s="12">
        <v>7.0000000000000007E-2</v>
      </c>
      <c r="W190" s="12">
        <v>5</v>
      </c>
      <c r="X190" s="12">
        <v>36</v>
      </c>
      <c r="Y190" s="12">
        <v>36</v>
      </c>
      <c r="AF190" s="12"/>
      <c r="AG190" s="12">
        <f t="shared" si="141"/>
        <v>5.07</v>
      </c>
      <c r="AH190" s="90">
        <f t="shared" si="142"/>
        <v>18.035</v>
      </c>
      <c r="AI190" s="99">
        <f>'analyse import'!J191</f>
        <v>0</v>
      </c>
      <c r="AK190" s="12">
        <f t="shared" si="110"/>
        <v>0</v>
      </c>
    </row>
    <row r="191" spans="1:37">
      <c r="B191" s="11" t="s">
        <v>130</v>
      </c>
      <c r="C191" s="12">
        <f>'analyse import'!H192</f>
        <v>0</v>
      </c>
      <c r="D191" s="12">
        <f>'analyse import'!I192</f>
        <v>0</v>
      </c>
      <c r="E191" s="263" t="str">
        <f>IF(C191+D191&gt;0,'analyse import'!H192*10/omrekenen!J$3,"")</f>
        <v/>
      </c>
      <c r="F191" s="264" t="str">
        <f>IF(D191+C191&gt;0,'analyse import'!I192*10/omrekenen!K$3,"")</f>
        <v/>
      </c>
      <c r="G191" s="73" t="str">
        <f>IF(C191+D191&gt;0,(E191+F191)/'analyse import'!K192,"")</f>
        <v/>
      </c>
      <c r="H191" s="56" t="str">
        <f t="shared" si="143"/>
        <v/>
      </c>
      <c r="I191" s="56" t="str">
        <f t="shared" si="144"/>
        <v/>
      </c>
      <c r="J191" s="56" t="str">
        <f t="shared" si="134"/>
        <v/>
      </c>
      <c r="K191" s="56" t="str">
        <f t="shared" si="135"/>
        <v/>
      </c>
      <c r="L191" s="56" t="str">
        <f t="shared" si="136"/>
        <v/>
      </c>
      <c r="M191" s="56" t="s">
        <v>220</v>
      </c>
      <c r="N191" s="56" t="s">
        <v>220</v>
      </c>
      <c r="O191" s="56" t="s">
        <v>220</v>
      </c>
      <c r="P191" s="56" t="s">
        <v>220</v>
      </c>
      <c r="Q191" s="56" t="s">
        <v>220</v>
      </c>
      <c r="R191" s="56" t="s">
        <v>220</v>
      </c>
      <c r="S191" s="56" t="s">
        <v>220</v>
      </c>
      <c r="T191" s="34" t="str">
        <f t="shared" si="140"/>
        <v/>
      </c>
      <c r="V191" s="12">
        <v>7.0000000000000007E-2</v>
      </c>
      <c r="W191" s="12">
        <v>2.6</v>
      </c>
      <c r="X191" s="12">
        <v>48</v>
      </c>
      <c r="Y191" s="12">
        <v>48</v>
      </c>
      <c r="AF191" s="12"/>
      <c r="AG191" s="12">
        <f t="shared" si="141"/>
        <v>2.67</v>
      </c>
      <c r="AH191" s="90">
        <f t="shared" si="142"/>
        <v>24.035</v>
      </c>
      <c r="AI191" s="99">
        <f>'analyse import'!J192</f>
        <v>0</v>
      </c>
      <c r="AK191" s="12">
        <f t="shared" si="110"/>
        <v>0</v>
      </c>
    </row>
    <row r="192" spans="1:37">
      <c r="B192" s="11" t="s">
        <v>131</v>
      </c>
      <c r="C192" s="12">
        <f>'analyse import'!H193</f>
        <v>0</v>
      </c>
      <c r="D192" s="12">
        <f>'analyse import'!I193</f>
        <v>0</v>
      </c>
      <c r="E192" s="263" t="str">
        <f>IF(C192+D192&gt;0,'analyse import'!H193*10/omrekenen!J$3,"")</f>
        <v/>
      </c>
      <c r="F192" s="264" t="str">
        <f>IF(D192+C192&gt;0,'analyse import'!I193*10/omrekenen!K$3,"")</f>
        <v/>
      </c>
      <c r="G192" s="73" t="str">
        <f>IF(C192+D192&gt;0,(E192+F192)/'analyse import'!K193,"")</f>
        <v/>
      </c>
      <c r="H192" s="56" t="str">
        <f t="shared" si="143"/>
        <v/>
      </c>
      <c r="I192" s="56" t="str">
        <f t="shared" si="144"/>
        <v/>
      </c>
      <c r="J192" s="56" t="str">
        <f t="shared" si="134"/>
        <v/>
      </c>
      <c r="K192" s="56" t="str">
        <f t="shared" si="135"/>
        <v/>
      </c>
      <c r="L192" s="56" t="str">
        <f t="shared" si="136"/>
        <v/>
      </c>
      <c r="M192" s="56" t="s">
        <v>220</v>
      </c>
      <c r="N192" s="56" t="s">
        <v>220</v>
      </c>
      <c r="O192" s="56" t="s">
        <v>220</v>
      </c>
      <c r="P192" s="56" t="s">
        <v>220</v>
      </c>
      <c r="Q192" s="56" t="s">
        <v>220</v>
      </c>
      <c r="R192" s="56" t="s">
        <v>220</v>
      </c>
      <c r="S192" s="56" t="s">
        <v>220</v>
      </c>
      <c r="T192" s="34" t="str">
        <f t="shared" si="140"/>
        <v/>
      </c>
      <c r="V192" s="12">
        <v>7.0000000000000007E-2</v>
      </c>
      <c r="W192" s="12">
        <v>18</v>
      </c>
      <c r="X192" s="12">
        <v>60</v>
      </c>
      <c r="Y192" s="12">
        <v>220</v>
      </c>
      <c r="AF192" s="12"/>
      <c r="AG192" s="12">
        <f t="shared" si="141"/>
        <v>18.07</v>
      </c>
      <c r="AH192" s="90">
        <f t="shared" si="142"/>
        <v>110.035</v>
      </c>
      <c r="AI192" s="99">
        <f>'analyse import'!J193</f>
        <v>0</v>
      </c>
      <c r="AK192" s="12">
        <f t="shared" si="110"/>
        <v>0</v>
      </c>
    </row>
    <row r="193" spans="2:37">
      <c r="B193" s="11" t="s">
        <v>132</v>
      </c>
      <c r="C193" s="12">
        <f>'analyse import'!H194</f>
        <v>0</v>
      </c>
      <c r="D193" s="12">
        <f>'analyse import'!I194</f>
        <v>0</v>
      </c>
      <c r="E193" s="263" t="str">
        <f>IF(C193+D193&gt;0,'analyse import'!H194*10/omrekenen!J$3,"")</f>
        <v/>
      </c>
      <c r="F193" s="264" t="str">
        <f>IF(D193+C193&gt;0,'analyse import'!I194*10/omrekenen!K$3,"")</f>
        <v/>
      </c>
      <c r="G193" s="73" t="str">
        <f>IF(C193+D193&gt;0,(E193+F193)/'analyse import'!K194,"")</f>
        <v/>
      </c>
      <c r="H193" s="56" t="str">
        <f t="shared" si="143"/>
        <v/>
      </c>
      <c r="I193" s="56" t="str">
        <f t="shared" si="144"/>
        <v/>
      </c>
      <c r="J193" s="56" t="str">
        <f t="shared" si="134"/>
        <v/>
      </c>
      <c r="K193" s="56" t="str">
        <f t="shared" si="135"/>
        <v/>
      </c>
      <c r="L193" s="56" t="str">
        <f t="shared" si="136"/>
        <v/>
      </c>
      <c r="M193" s="56" t="s">
        <v>220</v>
      </c>
      <c r="N193" s="56" t="s">
        <v>220</v>
      </c>
      <c r="O193" s="56" t="s">
        <v>220</v>
      </c>
      <c r="P193" s="56" t="s">
        <v>220</v>
      </c>
      <c r="Q193" s="56" t="s">
        <v>220</v>
      </c>
      <c r="R193" s="56" t="s">
        <v>220</v>
      </c>
      <c r="S193" s="56" t="s">
        <v>220</v>
      </c>
      <c r="T193" s="34" t="str">
        <f t="shared" si="140"/>
        <v/>
      </c>
      <c r="V193" s="12">
        <v>4.4999999999999998E-2</v>
      </c>
      <c r="W193" s="12">
        <v>8.3000000000000007</v>
      </c>
      <c r="X193" s="12">
        <v>60</v>
      </c>
      <c r="Y193" s="12">
        <v>60</v>
      </c>
      <c r="AF193" s="12"/>
      <c r="AG193" s="12">
        <f t="shared" si="141"/>
        <v>8.3450000000000006</v>
      </c>
      <c r="AH193" s="90">
        <f t="shared" si="142"/>
        <v>30.022500000000001</v>
      </c>
      <c r="AI193" s="99">
        <f>'analyse import'!J194</f>
        <v>0</v>
      </c>
      <c r="AK193" s="12">
        <f t="shared" si="110"/>
        <v>0</v>
      </c>
    </row>
    <row r="194" spans="2:37">
      <c r="B194" s="11" t="s">
        <v>216</v>
      </c>
      <c r="C194" s="12">
        <f>'analyse import'!H195</f>
        <v>0</v>
      </c>
      <c r="D194" s="12">
        <f>'analyse import'!I195</f>
        <v>0</v>
      </c>
      <c r="E194" s="263" t="str">
        <f>IF(C194+D194&gt;0,'analyse import'!H195*10/omrekenen!J$3,"")</f>
        <v/>
      </c>
      <c r="F194" s="264" t="str">
        <f>IF(D194+C194&gt;0,'analyse import'!I195*10/omrekenen!K$3,"")</f>
        <v/>
      </c>
      <c r="G194" s="73" t="str">
        <f>IF(C194+D194&gt;0,(E194+F194)/'analyse import'!K195,"")</f>
        <v/>
      </c>
      <c r="H194" s="56" t="s">
        <v>220</v>
      </c>
      <c r="I194" s="56" t="s">
        <v>220</v>
      </c>
      <c r="J194" s="56" t="s">
        <v>220</v>
      </c>
      <c r="K194" s="56" t="s">
        <v>220</v>
      </c>
      <c r="L194" s="56" t="s">
        <v>220</v>
      </c>
      <c r="M194" s="56" t="s">
        <v>220</v>
      </c>
      <c r="N194" s="56" t="str">
        <f t="shared" ref="N194:N210" si="145">IF($C194+D194&gt;0,IF($G194&gt;AA194,"X","-"),"")</f>
        <v/>
      </c>
      <c r="O194" s="56" t="s">
        <v>220</v>
      </c>
      <c r="P194" s="56" t="str">
        <f t="shared" ref="P194:P199" si="146">IF($C194+D194&gt;0,IF($G194&gt;AC194,"X","-"),"")</f>
        <v/>
      </c>
      <c r="Q194" s="56" t="str">
        <f t="shared" ref="Q194:Q199" si="147">IF($C194+D194&gt;0,IF($G194&gt;AD194,"X","-"),"")</f>
        <v/>
      </c>
      <c r="R194" s="56" t="s">
        <v>220</v>
      </c>
      <c r="S194" s="56" t="s">
        <v>220</v>
      </c>
      <c r="T194" s="34" t="str">
        <f t="shared" si="140"/>
        <v/>
      </c>
      <c r="AA194" s="12">
        <v>0.25</v>
      </c>
      <c r="AC194" s="12">
        <v>60</v>
      </c>
      <c r="AD194" s="12">
        <f t="shared" ref="AD194:AD199" si="148">AC194</f>
        <v>60</v>
      </c>
      <c r="AF194" s="12"/>
      <c r="AI194" s="99">
        <f>'analyse import'!J195</f>
        <v>0</v>
      </c>
      <c r="AK194" s="12">
        <f t="shared" si="110"/>
        <v>0</v>
      </c>
    </row>
    <row r="195" spans="2:37">
      <c r="B195" s="11" t="s">
        <v>421</v>
      </c>
      <c r="C195" s="12">
        <f>'analyse import'!H196</f>
        <v>0</v>
      </c>
      <c r="D195" s="12">
        <f>'analyse import'!I196</f>
        <v>0</v>
      </c>
      <c r="E195" s="263" t="str">
        <f>IF(C195+D195&gt;0,'analyse import'!H196*10/omrekenen!J$3,"")</f>
        <v/>
      </c>
      <c r="F195" s="264" t="str">
        <f>IF(D195+C195&gt;0,'analyse import'!I196*10/omrekenen!K$3,"")</f>
        <v/>
      </c>
      <c r="G195" s="73" t="str">
        <f>IF(C195+D195&gt;0,(E195+F195)/'analyse import'!K196,"")</f>
        <v/>
      </c>
      <c r="H195" s="56" t="str">
        <f t="shared" ref="H195:H210" si="149">IF($C195+$D195&gt;0,IF($G195&gt;2*V195,"2x",IF($G195&gt;V195,"X","-")),"")</f>
        <v/>
      </c>
      <c r="I195" s="56" t="str">
        <f t="shared" ref="I195:I210" si="150">IF($C195+D195&gt;0,IF($G195&gt;AG195,"@",IF(G195&gt;W195,"X","-")),"")</f>
        <v/>
      </c>
      <c r="J195" s="56" t="str">
        <f>IF($C195+D195&gt;0,IF($G195&gt;4*X195,"4X",IF(G195&gt;X195,"X","-")),"")</f>
        <v/>
      </c>
      <c r="K195" s="56" t="str">
        <f t="shared" ref="K195:K210" si="151">IF($C195+D195&gt;0,IF($G195&gt;Y195,"X","-"),"")</f>
        <v/>
      </c>
      <c r="L195" s="56" t="str">
        <f t="shared" ref="L195:L210" si="152">IF($C195+D195&gt;0,IF($G195&gt;AH195,"X","-"),"")</f>
        <v/>
      </c>
      <c r="M195" s="56" t="s">
        <v>220</v>
      </c>
      <c r="N195" s="56" t="str">
        <f t="shared" si="145"/>
        <v/>
      </c>
      <c r="O195" s="56" t="str">
        <f>IF($C195+D195&gt;0,IF($G195&gt;AB195,"X","-"),"")</f>
        <v/>
      </c>
      <c r="P195" s="56" t="str">
        <f t="shared" si="146"/>
        <v/>
      </c>
      <c r="Q195" s="56" t="str">
        <f t="shared" si="147"/>
        <v/>
      </c>
      <c r="R195" s="56" t="s">
        <v>220</v>
      </c>
      <c r="S195" s="56" t="str">
        <f>IF($C195+D195&gt;0,IF($G195&gt;AF195,"X","-"),"")</f>
        <v/>
      </c>
      <c r="T195" s="34" t="str">
        <f t="shared" si="140"/>
        <v/>
      </c>
      <c r="V195" s="12">
        <v>190</v>
      </c>
      <c r="W195" s="12">
        <v>190</v>
      </c>
      <c r="X195" s="12">
        <v>500</v>
      </c>
      <c r="Y195" s="12">
        <v>5000</v>
      </c>
      <c r="AA195" s="12">
        <v>190</v>
      </c>
      <c r="AB195" s="12">
        <v>1250</v>
      </c>
      <c r="AC195" s="12">
        <v>5000</v>
      </c>
      <c r="AD195" s="12">
        <f t="shared" si="148"/>
        <v>5000</v>
      </c>
      <c r="AF195" s="12">
        <v>1250</v>
      </c>
      <c r="AG195" s="12">
        <f t="shared" si="141"/>
        <v>380</v>
      </c>
      <c r="AH195" s="77">
        <f t="shared" ref="AH195:AH210" si="153">(V195+Y195)/2</f>
        <v>2595</v>
      </c>
      <c r="AI195" s="45">
        <f>'analyse import'!J196</f>
        <v>0</v>
      </c>
      <c r="AK195" s="12">
        <f t="shared" si="110"/>
        <v>0</v>
      </c>
    </row>
    <row r="196" spans="2:37">
      <c r="B196" s="11" t="s">
        <v>134</v>
      </c>
      <c r="C196" s="12">
        <f>'analyse import'!H197</f>
        <v>0</v>
      </c>
      <c r="D196" s="12">
        <f>'analyse import'!I197</f>
        <v>0</v>
      </c>
      <c r="E196" s="263" t="str">
        <f>IF(C196+D196&gt;0,'analyse import'!H197*10/omrekenen!J$3,"")</f>
        <v/>
      </c>
      <c r="F196" s="264" t="str">
        <f>IF(D196+C196&gt;0,'analyse import'!I197*10/omrekenen!K$3,"")</f>
        <v/>
      </c>
      <c r="G196" s="73" t="str">
        <f>IF(C196+D196&gt;0,(E196+F196)/'analyse import'!K197,"")</f>
        <v/>
      </c>
      <c r="H196" s="56" t="str">
        <f t="shared" si="149"/>
        <v/>
      </c>
      <c r="I196" s="56" t="str">
        <f t="shared" si="150"/>
        <v/>
      </c>
      <c r="J196" s="56" t="str">
        <f t="shared" ref="J196:J210" si="154">IF($C196+D196&gt;0,IF($G196&gt;X196,"X","-"),"")</f>
        <v/>
      </c>
      <c r="K196" s="56" t="str">
        <f t="shared" si="151"/>
        <v/>
      </c>
      <c r="L196" s="56" t="str">
        <f t="shared" si="152"/>
        <v/>
      </c>
      <c r="M196" s="56" t="s">
        <v>220</v>
      </c>
      <c r="N196" s="56" t="str">
        <f t="shared" si="145"/>
        <v/>
      </c>
      <c r="O196" s="56" t="s">
        <v>220</v>
      </c>
      <c r="P196" s="56" t="str">
        <f t="shared" si="146"/>
        <v/>
      </c>
      <c r="Q196" s="56" t="str">
        <f t="shared" si="147"/>
        <v/>
      </c>
      <c r="R196" s="56" t="s">
        <v>220</v>
      </c>
      <c r="S196" s="56" t="s">
        <v>220</v>
      </c>
      <c r="T196" s="34" t="str">
        <f t="shared" si="140"/>
        <v/>
      </c>
      <c r="V196" s="12">
        <v>0.15</v>
      </c>
      <c r="W196" s="12">
        <v>0.15</v>
      </c>
      <c r="X196" s="12">
        <v>1</v>
      </c>
      <c r="Y196" s="12">
        <v>11</v>
      </c>
      <c r="AA196" s="12">
        <v>0.15</v>
      </c>
      <c r="AC196" s="12">
        <v>0.5</v>
      </c>
      <c r="AD196" s="12">
        <f t="shared" si="148"/>
        <v>0.5</v>
      </c>
      <c r="AF196" s="12"/>
      <c r="AG196" s="12">
        <f t="shared" si="141"/>
        <v>0.3</v>
      </c>
      <c r="AH196" s="90">
        <f t="shared" si="153"/>
        <v>5.5750000000000002</v>
      </c>
      <c r="AI196" s="99">
        <f>'analyse import'!J197</f>
        <v>0</v>
      </c>
      <c r="AK196" s="12">
        <f t="shared" si="110"/>
        <v>0</v>
      </c>
    </row>
    <row r="197" spans="2:37">
      <c r="B197" s="11" t="s">
        <v>135</v>
      </c>
      <c r="C197" s="12">
        <f>'analyse import'!H198</f>
        <v>0</v>
      </c>
      <c r="D197" s="12">
        <f>'analyse import'!I198</f>
        <v>0</v>
      </c>
      <c r="E197" s="263" t="str">
        <f>IF(C197+D197&gt;0,'analyse import'!H198*10/omrekenen!J$3,"")</f>
        <v/>
      </c>
      <c r="F197" s="264" t="str">
        <f>IF(D197+C197&gt;0,'analyse import'!I198*10/omrekenen!K$3,"")</f>
        <v/>
      </c>
      <c r="G197" s="73" t="str">
        <f>IF(C197+D197&gt;0,(E197+F197)/'analyse import'!K198,"")</f>
        <v/>
      </c>
      <c r="H197" s="56" t="str">
        <f t="shared" si="149"/>
        <v/>
      </c>
      <c r="I197" s="56" t="str">
        <f t="shared" si="150"/>
        <v/>
      </c>
      <c r="J197" s="56" t="str">
        <f t="shared" si="154"/>
        <v/>
      </c>
      <c r="K197" s="56" t="str">
        <f t="shared" si="151"/>
        <v/>
      </c>
      <c r="L197" s="56" t="str">
        <f t="shared" si="152"/>
        <v/>
      </c>
      <c r="M197" s="56" t="s">
        <v>220</v>
      </c>
      <c r="N197" s="56" t="str">
        <f t="shared" si="145"/>
        <v/>
      </c>
      <c r="O197" s="56" t="s">
        <v>220</v>
      </c>
      <c r="P197" s="56" t="str">
        <f t="shared" si="146"/>
        <v/>
      </c>
      <c r="Q197" s="56" t="str">
        <f t="shared" si="147"/>
        <v/>
      </c>
      <c r="R197" s="56" t="s">
        <v>220</v>
      </c>
      <c r="S197" s="56" t="s">
        <v>220</v>
      </c>
      <c r="T197" s="34" t="str">
        <f t="shared" si="140"/>
        <v/>
      </c>
      <c r="V197" s="12">
        <v>0.45</v>
      </c>
      <c r="W197" s="12">
        <v>0.45</v>
      </c>
      <c r="X197" s="12">
        <v>2</v>
      </c>
      <c r="Y197" s="12">
        <v>7</v>
      </c>
      <c r="AA197" s="12">
        <v>0.45</v>
      </c>
      <c r="AC197" s="12">
        <v>2</v>
      </c>
      <c r="AD197" s="12">
        <f t="shared" si="148"/>
        <v>2</v>
      </c>
      <c r="AF197" s="12"/>
      <c r="AG197" s="12">
        <f t="shared" si="141"/>
        <v>0.9</v>
      </c>
      <c r="AH197" s="90">
        <f t="shared" si="153"/>
        <v>3.7250000000000001</v>
      </c>
      <c r="AI197" s="99">
        <f>'analyse import'!J198</f>
        <v>0</v>
      </c>
      <c r="AK197" s="12">
        <f t="shared" si="110"/>
        <v>0</v>
      </c>
    </row>
    <row r="198" spans="2:37">
      <c r="B198" s="11" t="s">
        <v>136</v>
      </c>
      <c r="C198" s="12">
        <f>'analyse import'!H199</f>
        <v>0</v>
      </c>
      <c r="D198" s="12">
        <f>'analyse import'!I199</f>
        <v>0</v>
      </c>
      <c r="E198" s="263" t="str">
        <f>IF(C198+D198&gt;0,'analyse import'!H199*10/omrekenen!J$3,"")</f>
        <v/>
      </c>
      <c r="F198" s="264" t="str">
        <f>IF(D198+C198&gt;0,'analyse import'!I199*10/omrekenen!K$3,"")</f>
        <v/>
      </c>
      <c r="G198" s="73" t="str">
        <f>IF(C198+D198&gt;0,(E198+F198)/'analyse import'!K199,"")</f>
        <v/>
      </c>
      <c r="H198" s="56" t="str">
        <f t="shared" si="149"/>
        <v/>
      </c>
      <c r="I198" s="56" t="str">
        <f t="shared" si="150"/>
        <v/>
      </c>
      <c r="J198" s="56" t="str">
        <f t="shared" si="154"/>
        <v/>
      </c>
      <c r="K198" s="56" t="str">
        <f t="shared" si="151"/>
        <v/>
      </c>
      <c r="L198" s="56" t="str">
        <f t="shared" si="152"/>
        <v/>
      </c>
      <c r="M198" s="56" t="s">
        <v>220</v>
      </c>
      <c r="N198" s="56" t="str">
        <f t="shared" si="145"/>
        <v/>
      </c>
      <c r="O198" s="56" t="s">
        <v>220</v>
      </c>
      <c r="P198" s="56" t="str">
        <f t="shared" si="146"/>
        <v/>
      </c>
      <c r="Q198" s="56" t="str">
        <f t="shared" si="147"/>
        <v/>
      </c>
      <c r="R198" s="56" t="s">
        <v>220</v>
      </c>
      <c r="S198" s="56" t="s">
        <v>220</v>
      </c>
      <c r="T198" s="34" t="str">
        <f t="shared" si="140"/>
        <v/>
      </c>
      <c r="V198" s="12">
        <v>1.5</v>
      </c>
      <c r="W198" s="12">
        <v>1.5</v>
      </c>
      <c r="X198" s="12">
        <v>8.8000000000000007</v>
      </c>
      <c r="Y198" s="12">
        <v>8.8000000000000007</v>
      </c>
      <c r="AA198" s="12">
        <v>1.5</v>
      </c>
      <c r="AC198" s="12">
        <v>90</v>
      </c>
      <c r="AD198" s="12">
        <f t="shared" si="148"/>
        <v>90</v>
      </c>
      <c r="AF198" s="12"/>
      <c r="AG198" s="12">
        <f t="shared" si="141"/>
        <v>3</v>
      </c>
      <c r="AH198" s="90">
        <f t="shared" si="153"/>
        <v>5.15</v>
      </c>
      <c r="AI198" s="99">
        <f>'analyse import'!J199</f>
        <v>0</v>
      </c>
      <c r="AK198" s="12">
        <f t="shared" si="110"/>
        <v>0</v>
      </c>
    </row>
    <row r="199" spans="2:37">
      <c r="B199" s="11" t="s">
        <v>137</v>
      </c>
      <c r="C199" s="12">
        <f>'analyse import'!H200</f>
        <v>0</v>
      </c>
      <c r="D199" s="12">
        <f>'analyse import'!I200</f>
        <v>0</v>
      </c>
      <c r="E199" s="263" t="str">
        <f>IF(C199+D199&gt;0,'analyse import'!H200*10/omrekenen!J$3,"")</f>
        <v/>
      </c>
      <c r="F199" s="264" t="str">
        <f>IF(D199+C199&gt;0,'analyse import'!I200*10/omrekenen!K$3,"")</f>
        <v/>
      </c>
      <c r="G199" s="73" t="str">
        <f>IF(C199+D199&gt;0,(E199+F199)/'analyse import'!K200,"")</f>
        <v/>
      </c>
      <c r="H199" s="56" t="str">
        <f t="shared" si="149"/>
        <v/>
      </c>
      <c r="I199" s="56" t="str">
        <f t="shared" si="150"/>
        <v/>
      </c>
      <c r="J199" s="56" t="str">
        <f t="shared" si="154"/>
        <v/>
      </c>
      <c r="K199" s="56" t="str">
        <f t="shared" si="151"/>
        <v/>
      </c>
      <c r="L199" s="56" t="str">
        <f t="shared" si="152"/>
        <v/>
      </c>
      <c r="M199" s="56" t="s">
        <v>220</v>
      </c>
      <c r="N199" s="56" t="str">
        <f t="shared" si="145"/>
        <v/>
      </c>
      <c r="O199" s="56" t="s">
        <v>220</v>
      </c>
      <c r="P199" s="56" t="str">
        <f t="shared" si="146"/>
        <v/>
      </c>
      <c r="Q199" s="56" t="str">
        <f t="shared" si="147"/>
        <v/>
      </c>
      <c r="R199" s="56" t="s">
        <v>220</v>
      </c>
      <c r="S199" s="56" t="s">
        <v>220</v>
      </c>
      <c r="T199" s="34" t="str">
        <f t="shared" si="140"/>
        <v/>
      </c>
      <c r="V199" s="12">
        <v>0.2</v>
      </c>
      <c r="W199" s="12">
        <v>0.2</v>
      </c>
      <c r="X199" s="12">
        <v>0.2</v>
      </c>
      <c r="Y199" s="12">
        <v>75</v>
      </c>
      <c r="AA199" s="12">
        <v>0.2</v>
      </c>
      <c r="AC199" s="12">
        <v>75</v>
      </c>
      <c r="AD199" s="12">
        <f t="shared" si="148"/>
        <v>75</v>
      </c>
      <c r="AF199" s="12"/>
      <c r="AG199" s="12">
        <f t="shared" si="141"/>
        <v>0.2</v>
      </c>
      <c r="AH199" s="90">
        <f t="shared" si="153"/>
        <v>37.6</v>
      </c>
      <c r="AI199" s="99">
        <f>'analyse import'!J200</f>
        <v>0</v>
      </c>
      <c r="AK199" s="12">
        <f t="shared" si="110"/>
        <v>0</v>
      </c>
    </row>
    <row r="200" spans="2:37">
      <c r="B200" s="11" t="s">
        <v>138</v>
      </c>
      <c r="C200" s="12">
        <f>'analyse import'!H201</f>
        <v>0</v>
      </c>
      <c r="D200" s="12">
        <f>'analyse import'!I201</f>
        <v>0</v>
      </c>
      <c r="E200" s="263" t="str">
        <f>IF(C200+D200&gt;0,'analyse import'!H201*10/omrekenen!J$3,"")</f>
        <v/>
      </c>
      <c r="F200" s="264" t="str">
        <f>IF(D200+C200&gt;0,'analyse import'!I201*10/omrekenen!K$3,"")</f>
        <v/>
      </c>
      <c r="G200" s="73" t="str">
        <f>IF(C200+D200&gt;0,(E200+F200)/'analyse import'!K201,"")</f>
        <v/>
      </c>
      <c r="H200" s="56" t="str">
        <f t="shared" si="149"/>
        <v/>
      </c>
      <c r="I200" s="56" t="str">
        <f t="shared" si="150"/>
        <v/>
      </c>
      <c r="J200" s="56" t="str">
        <f t="shared" si="154"/>
        <v/>
      </c>
      <c r="K200" s="56" t="str">
        <f t="shared" si="151"/>
        <v/>
      </c>
      <c r="L200" s="56" t="str">
        <f t="shared" si="152"/>
        <v/>
      </c>
      <c r="M200" s="56" t="s">
        <v>220</v>
      </c>
      <c r="N200" s="56" t="str">
        <f t="shared" si="145"/>
        <v/>
      </c>
      <c r="O200" s="56" t="s">
        <v>220</v>
      </c>
      <c r="P200" s="56" t="s">
        <v>220</v>
      </c>
      <c r="Q200" s="56" t="s">
        <v>220</v>
      </c>
      <c r="R200" s="56" t="s">
        <v>220</v>
      </c>
      <c r="S200" s="56" t="s">
        <v>220</v>
      </c>
      <c r="T200" s="34" t="str">
        <f t="shared" si="140"/>
        <v/>
      </c>
      <c r="V200" s="12">
        <v>5</v>
      </c>
      <c r="W200" s="12">
        <v>5</v>
      </c>
      <c r="X200" s="12">
        <v>5</v>
      </c>
      <c r="Y200" s="12">
        <v>100</v>
      </c>
      <c r="AA200" s="12">
        <v>5</v>
      </c>
      <c r="AF200" s="12"/>
      <c r="AG200" s="12">
        <f t="shared" si="141"/>
        <v>5</v>
      </c>
      <c r="AH200" s="90">
        <f t="shared" si="153"/>
        <v>52.5</v>
      </c>
      <c r="AI200" s="99">
        <f>'analyse import'!J201</f>
        <v>0</v>
      </c>
      <c r="AK200" s="12">
        <f t="shared" si="110"/>
        <v>0</v>
      </c>
    </row>
    <row r="201" spans="2:37">
      <c r="B201" s="11" t="s">
        <v>177</v>
      </c>
      <c r="C201" s="12">
        <f>'analyse import'!H202</f>
        <v>0</v>
      </c>
      <c r="D201" s="12">
        <f>'analyse import'!I202</f>
        <v>0</v>
      </c>
      <c r="E201" s="263" t="str">
        <f>IF(C201+D201&gt;0,'analyse import'!H202*10/omrekenen!J$3,"")</f>
        <v/>
      </c>
      <c r="F201" s="264" t="str">
        <f>IF(D201+C201&gt;0,'analyse import'!I202*10/omrekenen!K$3,"")</f>
        <v/>
      </c>
      <c r="G201" s="73" t="str">
        <f>IF(C201+D201&gt;0,(E201+F201)/'analyse import'!K202,"")</f>
        <v/>
      </c>
      <c r="H201" s="56" t="str">
        <f t="shared" si="149"/>
        <v/>
      </c>
      <c r="I201" s="56" t="str">
        <f t="shared" si="150"/>
        <v/>
      </c>
      <c r="J201" s="56" t="str">
        <f t="shared" si="154"/>
        <v/>
      </c>
      <c r="K201" s="56" t="str">
        <f t="shared" si="151"/>
        <v/>
      </c>
      <c r="L201" s="56" t="str">
        <f t="shared" si="152"/>
        <v/>
      </c>
      <c r="M201" s="56" t="s">
        <v>220</v>
      </c>
      <c r="N201" s="56" t="str">
        <f t="shared" si="145"/>
        <v/>
      </c>
      <c r="O201" s="56" t="s">
        <v>220</v>
      </c>
      <c r="P201" s="56" t="s">
        <v>220</v>
      </c>
      <c r="Q201" s="56" t="s">
        <v>220</v>
      </c>
      <c r="R201" s="56" t="s">
        <v>220</v>
      </c>
      <c r="S201" s="56" t="s">
        <v>220</v>
      </c>
      <c r="T201" s="34" t="str">
        <f t="shared" si="140"/>
        <v/>
      </c>
      <c r="V201" s="12">
        <v>8</v>
      </c>
      <c r="W201" s="12">
        <v>8</v>
      </c>
      <c r="X201" s="12">
        <v>8</v>
      </c>
      <c r="Y201" s="12">
        <v>270</v>
      </c>
      <c r="AA201" s="12">
        <v>8</v>
      </c>
      <c r="AF201" s="12"/>
      <c r="AG201" s="12">
        <f t="shared" si="141"/>
        <v>8</v>
      </c>
      <c r="AH201" s="90">
        <f t="shared" si="153"/>
        <v>139</v>
      </c>
      <c r="AI201" s="99">
        <f>'analyse import'!J202</f>
        <v>0</v>
      </c>
      <c r="AK201" s="12">
        <f t="shared" si="110"/>
        <v>0</v>
      </c>
    </row>
    <row r="202" spans="2:37">
      <c r="B202" s="11" t="s">
        <v>139</v>
      </c>
      <c r="C202" s="12">
        <f>'analyse import'!H203</f>
        <v>0</v>
      </c>
      <c r="D202" s="12">
        <f>'analyse import'!I203</f>
        <v>0</v>
      </c>
      <c r="E202" s="263" t="str">
        <f>IF(C202+D202&gt;0,'analyse import'!H203*10/omrekenen!J$3,"")</f>
        <v/>
      </c>
      <c r="F202" s="264" t="str">
        <f>IF(D202+C202&gt;0,'analyse import'!I203*10/omrekenen!K$3,"")</f>
        <v/>
      </c>
      <c r="G202" s="73" t="str">
        <f>IF(C202+D202&gt;0,(E202+F202)/'analyse import'!K203,"")</f>
        <v/>
      </c>
      <c r="H202" s="56" t="str">
        <f t="shared" si="149"/>
        <v/>
      </c>
      <c r="I202" s="56" t="str">
        <f t="shared" si="150"/>
        <v/>
      </c>
      <c r="J202" s="56" t="str">
        <f t="shared" si="154"/>
        <v/>
      </c>
      <c r="K202" s="56" t="str">
        <f t="shared" si="151"/>
        <v/>
      </c>
      <c r="L202" s="56" t="str">
        <f t="shared" si="152"/>
        <v/>
      </c>
      <c r="M202" s="56" t="s">
        <v>220</v>
      </c>
      <c r="N202" s="56" t="str">
        <f t="shared" si="145"/>
        <v/>
      </c>
      <c r="O202" s="56" t="s">
        <v>220</v>
      </c>
      <c r="P202" s="56" t="s">
        <v>220</v>
      </c>
      <c r="Q202" s="56" t="s">
        <v>220</v>
      </c>
      <c r="R202" s="56" t="s">
        <v>220</v>
      </c>
      <c r="S202" s="56" t="s">
        <v>220</v>
      </c>
      <c r="T202" s="34" t="str">
        <f t="shared" si="140"/>
        <v/>
      </c>
      <c r="V202" s="12">
        <v>0.1</v>
      </c>
      <c r="W202" s="12">
        <v>0.1</v>
      </c>
      <c r="X202" s="12">
        <v>0.1</v>
      </c>
      <c r="Y202" s="12">
        <v>0.1</v>
      </c>
      <c r="AA202" s="12">
        <v>2</v>
      </c>
      <c r="AF202" s="12"/>
      <c r="AG202" s="12">
        <f t="shared" si="141"/>
        <v>0.1</v>
      </c>
      <c r="AH202" s="90">
        <f t="shared" si="153"/>
        <v>0.1</v>
      </c>
      <c r="AI202" s="99">
        <f>'analyse import'!J203</f>
        <v>0</v>
      </c>
      <c r="AK202" s="12">
        <f t="shared" si="110"/>
        <v>0</v>
      </c>
    </row>
    <row r="203" spans="2:37">
      <c r="B203" s="11" t="s">
        <v>140</v>
      </c>
      <c r="C203" s="12">
        <f>'analyse import'!H204</f>
        <v>0</v>
      </c>
      <c r="D203" s="12">
        <f>'analyse import'!I204</f>
        <v>0</v>
      </c>
      <c r="E203" s="263" t="str">
        <f>IF(C203+D203&gt;0,'analyse import'!H204*10/omrekenen!J$3,"")</f>
        <v/>
      </c>
      <c r="F203" s="264" t="str">
        <f>IF(D203+C203&gt;0,'analyse import'!I204*10/omrekenen!K$3,"")</f>
        <v/>
      </c>
      <c r="G203" s="73" t="str">
        <f>IF(C203+D203&gt;0,(E203+F203)/'analyse import'!K204,"")</f>
        <v/>
      </c>
      <c r="H203" s="56" t="str">
        <f t="shared" si="149"/>
        <v/>
      </c>
      <c r="I203" s="56" t="str">
        <f t="shared" si="150"/>
        <v/>
      </c>
      <c r="J203" s="56" t="str">
        <f t="shared" si="154"/>
        <v/>
      </c>
      <c r="K203" s="56" t="str">
        <f t="shared" si="151"/>
        <v/>
      </c>
      <c r="L203" s="56" t="str">
        <f t="shared" si="152"/>
        <v/>
      </c>
      <c r="M203" s="56" t="s">
        <v>220</v>
      </c>
      <c r="N203" s="56" t="str">
        <f t="shared" si="145"/>
        <v/>
      </c>
      <c r="O203" s="56" t="s">
        <v>220</v>
      </c>
      <c r="P203" s="56" t="s">
        <v>220</v>
      </c>
      <c r="Q203" s="56" t="s">
        <v>220</v>
      </c>
      <c r="R203" s="56" t="s">
        <v>220</v>
      </c>
      <c r="S203" s="56" t="s">
        <v>220</v>
      </c>
      <c r="T203" s="34" t="str">
        <f t="shared" si="140"/>
        <v/>
      </c>
      <c r="V203" s="12">
        <v>0.1</v>
      </c>
      <c r="W203" s="12">
        <v>0.1</v>
      </c>
      <c r="X203" s="12">
        <v>0.1</v>
      </c>
      <c r="Y203" s="12">
        <v>0.1</v>
      </c>
      <c r="AA203" s="12">
        <v>2.5</v>
      </c>
      <c r="AF203" s="12"/>
      <c r="AG203" s="12">
        <f t="shared" si="141"/>
        <v>0.1</v>
      </c>
      <c r="AH203" s="90">
        <f t="shared" si="153"/>
        <v>0.1</v>
      </c>
      <c r="AI203" s="99">
        <f>'analyse import'!J204</f>
        <v>0</v>
      </c>
      <c r="AK203" s="12">
        <f t="shared" si="110"/>
        <v>0</v>
      </c>
    </row>
    <row r="204" spans="2:37">
      <c r="B204" s="11" t="s">
        <v>141</v>
      </c>
      <c r="C204" s="12">
        <f>'analyse import'!H205</f>
        <v>0</v>
      </c>
      <c r="D204" s="12">
        <f>'analyse import'!I205</f>
        <v>0</v>
      </c>
      <c r="E204" s="263" t="str">
        <f>IF(C204+D204&gt;0,'analyse import'!H205*10/omrekenen!J$3,"")</f>
        <v/>
      </c>
      <c r="F204" s="264" t="str">
        <f>IF(D204+C204&gt;0,'analyse import'!I205*10/omrekenen!K$3,"")</f>
        <v/>
      </c>
      <c r="G204" s="73" t="str">
        <f>IF(C204+D204&gt;0,(E204+F204)/'analyse import'!K205,"")</f>
        <v/>
      </c>
      <c r="H204" s="56" t="str">
        <f t="shared" si="149"/>
        <v/>
      </c>
      <c r="I204" s="56" t="str">
        <f t="shared" si="150"/>
        <v/>
      </c>
      <c r="J204" s="56" t="str">
        <f t="shared" si="154"/>
        <v/>
      </c>
      <c r="K204" s="56" t="str">
        <f t="shared" si="151"/>
        <v/>
      </c>
      <c r="L204" s="56" t="str">
        <f t="shared" si="152"/>
        <v/>
      </c>
      <c r="M204" s="56" t="s">
        <v>220</v>
      </c>
      <c r="N204" s="56" t="str">
        <f t="shared" si="145"/>
        <v/>
      </c>
      <c r="O204" s="56" t="s">
        <v>220</v>
      </c>
      <c r="P204" s="56" t="s">
        <v>220</v>
      </c>
      <c r="Q204" s="56" t="s">
        <v>220</v>
      </c>
      <c r="R204" s="56" t="s">
        <v>220</v>
      </c>
      <c r="S204" s="56" t="s">
        <v>220</v>
      </c>
      <c r="T204" s="34" t="str">
        <f t="shared" si="140"/>
        <v/>
      </c>
      <c r="V204" s="12">
        <v>0.75</v>
      </c>
      <c r="W204" s="12">
        <v>0.75</v>
      </c>
      <c r="X204" s="12">
        <v>0.75</v>
      </c>
      <c r="Y204" s="12">
        <v>220</v>
      </c>
      <c r="AA204" s="12">
        <v>0.75</v>
      </c>
      <c r="AF204" s="12"/>
      <c r="AG204" s="12">
        <f t="shared" si="141"/>
        <v>0.75</v>
      </c>
      <c r="AH204" s="90">
        <f t="shared" si="153"/>
        <v>110.375</v>
      </c>
      <c r="AI204" s="99">
        <f>'analyse import'!J205</f>
        <v>0</v>
      </c>
      <c r="AK204" s="12">
        <f t="shared" si="110"/>
        <v>0</v>
      </c>
    </row>
    <row r="205" spans="2:37">
      <c r="B205" s="11" t="s">
        <v>142</v>
      </c>
      <c r="C205" s="12">
        <f>'analyse import'!H206</f>
        <v>0</v>
      </c>
      <c r="D205" s="12">
        <f>'analyse import'!I206</f>
        <v>0</v>
      </c>
      <c r="E205" s="263" t="str">
        <f>IF(C205+D205&gt;0,'analyse import'!H206*10/omrekenen!J$3,"")</f>
        <v/>
      </c>
      <c r="F205" s="264" t="str">
        <f>IF(D205+C205&gt;0,'analyse import'!I206*10/omrekenen!K$3,"")</f>
        <v/>
      </c>
      <c r="G205" s="73" t="str">
        <f>IF(C205+D205&gt;0,(E205+F205)/'analyse import'!K206,"")</f>
        <v/>
      </c>
      <c r="H205" s="56" t="str">
        <f t="shared" si="149"/>
        <v/>
      </c>
      <c r="I205" s="56" t="str">
        <f t="shared" si="150"/>
        <v/>
      </c>
      <c r="J205" s="56" t="str">
        <f t="shared" si="154"/>
        <v/>
      </c>
      <c r="K205" s="56" t="str">
        <f t="shared" si="151"/>
        <v/>
      </c>
      <c r="L205" s="56" t="str">
        <f t="shared" si="152"/>
        <v/>
      </c>
      <c r="M205" s="56" t="s">
        <v>220</v>
      </c>
      <c r="N205" s="56" t="str">
        <f t="shared" si="145"/>
        <v/>
      </c>
      <c r="O205" s="56" t="s">
        <v>220</v>
      </c>
      <c r="P205" s="56" t="s">
        <v>220</v>
      </c>
      <c r="Q205" s="56" t="s">
        <v>220</v>
      </c>
      <c r="R205" s="56" t="s">
        <v>220</v>
      </c>
      <c r="S205" s="56" t="s">
        <v>220</v>
      </c>
      <c r="T205" s="34" t="str">
        <f t="shared" si="140"/>
        <v/>
      </c>
      <c r="V205" s="12">
        <v>3</v>
      </c>
      <c r="W205" s="12">
        <v>3</v>
      </c>
      <c r="X205" s="12">
        <v>3</v>
      </c>
      <c r="Y205" s="12">
        <v>30</v>
      </c>
      <c r="AA205" s="12">
        <v>3</v>
      </c>
      <c r="AF205" s="12"/>
      <c r="AG205" s="12">
        <f t="shared" si="141"/>
        <v>3</v>
      </c>
      <c r="AH205" s="90">
        <f t="shared" si="153"/>
        <v>16.5</v>
      </c>
      <c r="AI205" s="99">
        <f>'analyse import'!J206</f>
        <v>0</v>
      </c>
      <c r="AK205" s="12">
        <f t="shared" si="110"/>
        <v>0</v>
      </c>
    </row>
    <row r="206" spans="2:37">
      <c r="B206" s="11" t="s">
        <v>143</v>
      </c>
      <c r="C206" s="12">
        <f>'analyse import'!H207</f>
        <v>0</v>
      </c>
      <c r="D206" s="12">
        <f>'analyse import'!I207</f>
        <v>0</v>
      </c>
      <c r="E206" s="263" t="str">
        <f>IF(C206+D206&gt;0,'analyse import'!H207*10/omrekenen!J$3,"")</f>
        <v/>
      </c>
      <c r="F206" s="264" t="str">
        <f>IF(D206+C206&gt;0,'analyse import'!I207*10/omrekenen!K$3,"")</f>
        <v/>
      </c>
      <c r="G206" s="73" t="str">
        <f>IF(C206+D206&gt;0,(E206+F206)/'analyse import'!K207,"")</f>
        <v/>
      </c>
      <c r="H206" s="56" t="str">
        <f t="shared" si="149"/>
        <v/>
      </c>
      <c r="I206" s="56" t="str">
        <f t="shared" si="150"/>
        <v/>
      </c>
      <c r="J206" s="56" t="str">
        <f t="shared" si="154"/>
        <v/>
      </c>
      <c r="K206" s="56" t="str">
        <f t="shared" si="151"/>
        <v/>
      </c>
      <c r="L206" s="56" t="str">
        <f t="shared" si="152"/>
        <v/>
      </c>
      <c r="M206" s="56" t="s">
        <v>220</v>
      </c>
      <c r="N206" s="56" t="str">
        <f t="shared" si="145"/>
        <v/>
      </c>
      <c r="O206" s="56" t="s">
        <v>220</v>
      </c>
      <c r="P206" s="56" t="s">
        <v>220</v>
      </c>
      <c r="Q206" s="56" t="s">
        <v>220</v>
      </c>
      <c r="R206" s="56" t="s">
        <v>220</v>
      </c>
      <c r="S206" s="56" t="s">
        <v>220</v>
      </c>
      <c r="T206" s="34" t="str">
        <f t="shared" si="140"/>
        <v/>
      </c>
      <c r="V206" s="12">
        <v>2</v>
      </c>
      <c r="W206" s="12">
        <v>2</v>
      </c>
      <c r="X206" s="12">
        <v>2</v>
      </c>
      <c r="Y206" s="12">
        <v>30</v>
      </c>
      <c r="AA206" s="12">
        <v>2</v>
      </c>
      <c r="AF206" s="12"/>
      <c r="AG206" s="12">
        <f t="shared" si="141"/>
        <v>2</v>
      </c>
      <c r="AH206" s="90">
        <f t="shared" si="153"/>
        <v>16</v>
      </c>
      <c r="AI206" s="99">
        <f>'analyse import'!J207</f>
        <v>0</v>
      </c>
      <c r="AK206" s="12">
        <f t="shared" si="110"/>
        <v>0</v>
      </c>
    </row>
    <row r="207" spans="2:37">
      <c r="B207" s="11" t="s">
        <v>144</v>
      </c>
      <c r="C207" s="12">
        <f>'analyse import'!H208</f>
        <v>0</v>
      </c>
      <c r="D207" s="12">
        <f>'analyse import'!I208</f>
        <v>0</v>
      </c>
      <c r="E207" s="263" t="str">
        <f>IF(C207+D207&gt;0,'analyse import'!H208*10/omrekenen!J$3,"")</f>
        <v/>
      </c>
      <c r="F207" s="264" t="str">
        <f>IF(D207+C207&gt;0,'analyse import'!I208*10/omrekenen!K$3,"")</f>
        <v/>
      </c>
      <c r="G207" s="73" t="str">
        <f>IF(C207+D207&gt;0,(E207+F207)/'analyse import'!K208,"")</f>
        <v/>
      </c>
      <c r="H207" s="56" t="str">
        <f t="shared" si="149"/>
        <v/>
      </c>
      <c r="I207" s="56" t="str">
        <f t="shared" si="150"/>
        <v/>
      </c>
      <c r="J207" s="56" t="str">
        <f t="shared" si="154"/>
        <v/>
      </c>
      <c r="K207" s="56" t="str">
        <f t="shared" si="151"/>
        <v/>
      </c>
      <c r="L207" s="56" t="str">
        <f t="shared" si="152"/>
        <v/>
      </c>
      <c r="M207" s="56" t="s">
        <v>220</v>
      </c>
      <c r="N207" s="56" t="str">
        <f t="shared" si="145"/>
        <v/>
      </c>
      <c r="O207" s="56" t="s">
        <v>220</v>
      </c>
      <c r="P207" s="56" t="s">
        <v>220</v>
      </c>
      <c r="Q207" s="56" t="s">
        <v>220</v>
      </c>
      <c r="R207" s="56" t="s">
        <v>220</v>
      </c>
      <c r="S207" s="56" t="s">
        <v>220</v>
      </c>
      <c r="T207" s="34" t="str">
        <f t="shared" si="140"/>
        <v/>
      </c>
      <c r="V207" s="12">
        <v>2</v>
      </c>
      <c r="W207" s="12">
        <v>2</v>
      </c>
      <c r="X207" s="12">
        <v>2</v>
      </c>
      <c r="Y207" s="12">
        <v>200</v>
      </c>
      <c r="AA207" s="12">
        <v>2</v>
      </c>
      <c r="AF207" s="12"/>
      <c r="AG207" s="12">
        <f t="shared" si="141"/>
        <v>2</v>
      </c>
      <c r="AH207" s="90">
        <f t="shared" si="153"/>
        <v>101</v>
      </c>
      <c r="AI207" s="99">
        <f>'analyse import'!J208</f>
        <v>0</v>
      </c>
      <c r="AK207" s="12">
        <f t="shared" si="110"/>
        <v>0</v>
      </c>
    </row>
    <row r="208" spans="2:37">
      <c r="B208" s="11" t="s">
        <v>145</v>
      </c>
      <c r="C208" s="12">
        <f>'analyse import'!H209</f>
        <v>0</v>
      </c>
      <c r="D208" s="12">
        <f>'analyse import'!I209</f>
        <v>0</v>
      </c>
      <c r="E208" s="263" t="str">
        <f>IF(C208+D208&gt;0,'analyse import'!H209*10/omrekenen!J$3,"")</f>
        <v/>
      </c>
      <c r="F208" s="264" t="str">
        <f>IF(D208+C208&gt;0,'analyse import'!I209*10/omrekenen!K$3,"")</f>
        <v/>
      </c>
      <c r="G208" s="73" t="str">
        <f>IF(C208+D208&gt;0,(E208+F208)/'analyse import'!K209,"")</f>
        <v/>
      </c>
      <c r="H208" s="56" t="str">
        <f t="shared" si="149"/>
        <v/>
      </c>
      <c r="I208" s="56" t="str">
        <f t="shared" si="150"/>
        <v/>
      </c>
      <c r="J208" s="56" t="str">
        <f t="shared" si="154"/>
        <v/>
      </c>
      <c r="K208" s="56" t="str">
        <f t="shared" si="151"/>
        <v/>
      </c>
      <c r="L208" s="56" t="str">
        <f t="shared" si="152"/>
        <v/>
      </c>
      <c r="M208" s="56" t="s">
        <v>220</v>
      </c>
      <c r="N208" s="56" t="str">
        <f t="shared" si="145"/>
        <v/>
      </c>
      <c r="O208" s="56" t="s">
        <v>220</v>
      </c>
      <c r="P208" s="56" t="s">
        <v>220</v>
      </c>
      <c r="Q208" s="56" t="s">
        <v>220</v>
      </c>
      <c r="R208" s="56" t="s">
        <v>220</v>
      </c>
      <c r="S208" s="56" t="s">
        <v>220</v>
      </c>
      <c r="T208" s="34" t="str">
        <f t="shared" si="140"/>
        <v/>
      </c>
      <c r="V208" s="12">
        <v>2</v>
      </c>
      <c r="W208" s="12">
        <v>2</v>
      </c>
      <c r="X208" s="12">
        <v>2</v>
      </c>
      <c r="Y208" s="12">
        <v>75</v>
      </c>
      <c r="AA208" s="12">
        <v>2</v>
      </c>
      <c r="AF208" s="12"/>
      <c r="AG208" s="12">
        <f t="shared" si="141"/>
        <v>2</v>
      </c>
      <c r="AH208" s="90">
        <f t="shared" si="153"/>
        <v>38.5</v>
      </c>
      <c r="AI208" s="99">
        <f>'analyse import'!J209</f>
        <v>0</v>
      </c>
      <c r="AK208" s="12">
        <f t="shared" si="110"/>
        <v>0</v>
      </c>
    </row>
    <row r="209" spans="1:37">
      <c r="B209" s="11" t="s">
        <v>146</v>
      </c>
      <c r="C209" s="12">
        <f>'analyse import'!H210</f>
        <v>0</v>
      </c>
      <c r="D209" s="12">
        <f>'analyse import'!I210</f>
        <v>0</v>
      </c>
      <c r="E209" s="263" t="str">
        <f>IF(C209+D209&gt;0,'analyse import'!H210*10/omrekenen!J$3,"")</f>
        <v/>
      </c>
      <c r="F209" s="264" t="str">
        <f>IF(D209+C209&gt;0,'analyse import'!I210*10/omrekenen!K$3,"")</f>
        <v/>
      </c>
      <c r="G209" s="73" t="str">
        <f>IF(C209+D209&gt;0,(E209+F209)/'analyse import'!K210,"")</f>
        <v/>
      </c>
      <c r="H209" s="56" t="str">
        <f t="shared" si="149"/>
        <v/>
      </c>
      <c r="I209" s="56" t="str">
        <f t="shared" si="150"/>
        <v/>
      </c>
      <c r="J209" s="56" t="str">
        <f t="shared" si="154"/>
        <v/>
      </c>
      <c r="K209" s="56" t="str">
        <f t="shared" si="151"/>
        <v/>
      </c>
      <c r="L209" s="56" t="str">
        <f t="shared" si="152"/>
        <v/>
      </c>
      <c r="M209" s="56" t="s">
        <v>220</v>
      </c>
      <c r="N209" s="56" t="str">
        <f t="shared" si="145"/>
        <v/>
      </c>
      <c r="O209" s="56" t="s">
        <v>220</v>
      </c>
      <c r="P209" s="56" t="s">
        <v>220</v>
      </c>
      <c r="Q209" s="56" t="s">
        <v>220</v>
      </c>
      <c r="R209" s="56" t="s">
        <v>220</v>
      </c>
      <c r="S209" s="56" t="s">
        <v>220</v>
      </c>
      <c r="T209" s="34" t="str">
        <f t="shared" si="140"/>
        <v/>
      </c>
      <c r="V209" s="12">
        <v>0.2</v>
      </c>
      <c r="W209" s="12">
        <v>0.2</v>
      </c>
      <c r="X209" s="12">
        <v>0.2</v>
      </c>
      <c r="Y209" s="12">
        <v>100</v>
      </c>
      <c r="AA209" s="12">
        <v>0.2</v>
      </c>
      <c r="AF209" s="12"/>
      <c r="AG209" s="12">
        <f t="shared" si="141"/>
        <v>0.2</v>
      </c>
      <c r="AH209" s="90">
        <f t="shared" si="153"/>
        <v>50.1</v>
      </c>
      <c r="AI209" s="99">
        <f>'analyse import'!J210</f>
        <v>0</v>
      </c>
      <c r="AK209" s="12">
        <f t="shared" si="110"/>
        <v>0</v>
      </c>
    </row>
    <row r="210" spans="1:37">
      <c r="B210" s="11" t="s">
        <v>147</v>
      </c>
      <c r="C210" s="12">
        <f>'analyse import'!H211</f>
        <v>0</v>
      </c>
      <c r="D210" s="12">
        <f>'analyse import'!I211</f>
        <v>0</v>
      </c>
      <c r="E210" s="265" t="str">
        <f>IF(C210+D210&gt;0,'analyse import'!H211*10/omrekenen!J$3,"")</f>
        <v/>
      </c>
      <c r="F210" s="266" t="str">
        <f>IF(D210+C210&gt;0,'analyse import'!I211*10/omrekenen!K$3,"")</f>
        <v/>
      </c>
      <c r="G210" s="267" t="str">
        <f>IF(C210+D210&gt;0,(E210+F210)/'analyse import'!K211,"")</f>
        <v/>
      </c>
      <c r="H210" s="56" t="str">
        <f t="shared" si="149"/>
        <v/>
      </c>
      <c r="I210" s="56" t="str">
        <f t="shared" si="150"/>
        <v/>
      </c>
      <c r="J210" s="56" t="str">
        <f t="shared" si="154"/>
        <v/>
      </c>
      <c r="K210" s="56" t="str">
        <f t="shared" si="151"/>
        <v/>
      </c>
      <c r="L210" s="56" t="str">
        <f t="shared" si="152"/>
        <v/>
      </c>
      <c r="M210" s="56" t="s">
        <v>220</v>
      </c>
      <c r="N210" s="56" t="str">
        <f t="shared" si="145"/>
        <v/>
      </c>
      <c r="O210" s="56" t="s">
        <v>220</v>
      </c>
      <c r="P210" s="56" t="s">
        <v>220</v>
      </c>
      <c r="Q210" s="56" t="s">
        <v>220</v>
      </c>
      <c r="R210" s="56" t="s">
        <v>220</v>
      </c>
      <c r="S210" s="56" t="s">
        <v>220</v>
      </c>
      <c r="T210" s="34" t="str">
        <f t="shared" si="140"/>
        <v/>
      </c>
      <c r="V210" s="12">
        <v>2</v>
      </c>
      <c r="W210" s="12">
        <v>2</v>
      </c>
      <c r="X210" s="12">
        <v>2</v>
      </c>
      <c r="Y210" s="12">
        <v>35</v>
      </c>
      <c r="AA210" s="12">
        <v>2</v>
      </c>
      <c r="AF210" s="12"/>
      <c r="AG210" s="12">
        <f t="shared" si="141"/>
        <v>2</v>
      </c>
      <c r="AH210" s="90">
        <f t="shared" si="153"/>
        <v>18.5</v>
      </c>
      <c r="AI210" s="99">
        <f>'analyse import'!J211</f>
        <v>0</v>
      </c>
      <c r="AK210" s="12">
        <f t="shared" si="110"/>
        <v>0</v>
      </c>
    </row>
    <row r="211" spans="1:37" ht="3" customHeight="1" thickBot="1">
      <c r="A211" s="78"/>
      <c r="B211" s="79"/>
      <c r="C211" s="79"/>
      <c r="D211" s="79"/>
      <c r="E211" s="80"/>
      <c r="F211" s="81"/>
      <c r="G211" s="82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117"/>
      <c r="U211" s="79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I211" s="99">
        <v>0</v>
      </c>
      <c r="AK211" s="12"/>
    </row>
    <row r="212" spans="1:37" ht="12" thickTop="1">
      <c r="AF212" s="12"/>
      <c r="AI212" s="99">
        <v>0</v>
      </c>
      <c r="AK212" s="12"/>
    </row>
    <row r="213" spans="1:37" s="16" customFormat="1" ht="12.75">
      <c r="A213" s="32">
        <v>8</v>
      </c>
      <c r="B213" s="231" t="s">
        <v>428</v>
      </c>
      <c r="C213" s="230" t="s">
        <v>5</v>
      </c>
      <c r="D213" s="230" t="s">
        <v>5</v>
      </c>
      <c r="E213" s="230"/>
      <c r="F213" s="231" t="s">
        <v>425</v>
      </c>
      <c r="G213" s="232"/>
      <c r="H213" s="498" t="s">
        <v>426</v>
      </c>
      <c r="I213" s="498"/>
      <c r="J213" s="232"/>
      <c r="K213" s="239" t="s">
        <v>429</v>
      </c>
      <c r="L213" s="232"/>
      <c r="M213" s="232"/>
      <c r="N213" s="232"/>
      <c r="O213" s="232"/>
      <c r="P213" s="232"/>
      <c r="Q213" s="232"/>
      <c r="R213" s="232"/>
      <c r="S213" s="232"/>
      <c r="T213" s="238"/>
      <c r="AG213" s="47"/>
      <c r="AH213" s="47"/>
      <c r="AI213" s="101">
        <f>AI214</f>
        <v>0</v>
      </c>
      <c r="AK213" s="12"/>
    </row>
    <row r="214" spans="1:37" s="16" customFormat="1" ht="12.75">
      <c r="A214" s="10"/>
      <c r="B214" s="11" t="str">
        <f>'analyse import'!B214</f>
        <v>Totaal P (mg/kgds)</v>
      </c>
      <c r="C214" s="85">
        <f>'analyse import'!H214</f>
        <v>0</v>
      </c>
      <c r="D214" s="85">
        <f>'analyse import'!I214</f>
        <v>0</v>
      </c>
      <c r="E214" s="74" t="str">
        <f>IF(C214+D214&gt;0,'analyse import'!L214,"")</f>
        <v/>
      </c>
      <c r="F214" s="85">
        <f>IF(start!H23=1,1360,500)</f>
        <v>500</v>
      </c>
      <c r="G214" s="43" t="str">
        <f>IF(E214="","",IF(E214&gt;F214,"&gt;",""))</f>
        <v/>
      </c>
      <c r="H214" s="496">
        <f>IF(start!H23=1,680,300)</f>
        <v>300</v>
      </c>
      <c r="I214" s="496"/>
      <c r="J214" s="16" t="str">
        <f>IF(E214="","",IF(E214&gt;H214,"&gt;",""))</f>
        <v/>
      </c>
      <c r="K214" s="500" t="str">
        <f>IF(G214="&gt;","niet toepasbaar in GBT diepe put",IF(J214="&gt;","voldoet als vulmateriaal in diepe put","voldoet"))</f>
        <v>voldoet</v>
      </c>
      <c r="L214" s="501"/>
      <c r="M214" s="501"/>
      <c r="N214" s="501"/>
      <c r="O214" s="501"/>
      <c r="P214" s="501"/>
      <c r="Q214" s="501"/>
      <c r="R214" s="501"/>
      <c r="S214" s="501"/>
      <c r="T214" s="501"/>
      <c r="AG214" s="47"/>
      <c r="AH214" s="47"/>
      <c r="AI214" s="99">
        <f>IF(C214+D214&gt;0,1,0)</f>
        <v>0</v>
      </c>
      <c r="AK214" s="12"/>
    </row>
    <row r="215" spans="1:37" s="16" customFormat="1" ht="12.75">
      <c r="A215" s="10"/>
      <c r="B215" s="11" t="str">
        <f>'analyse import'!B215</f>
        <v>Totaal Fe (mg/kgds)</v>
      </c>
      <c r="C215" s="85">
        <f>'analyse import'!H215</f>
        <v>0</v>
      </c>
      <c r="D215" s="85">
        <f>'analyse import'!I215</f>
        <v>0</v>
      </c>
      <c r="E215" s="74" t="str">
        <f>IF(C215+D215&gt;0,'analyse import'!L215,"")</f>
        <v/>
      </c>
      <c r="F215" s="85" t="s">
        <v>220</v>
      </c>
      <c r="G215" s="43"/>
      <c r="H215" s="497" t="s">
        <v>220</v>
      </c>
      <c r="I215" s="497"/>
      <c r="K215" s="473" t="s">
        <v>430</v>
      </c>
      <c r="L215" s="474"/>
      <c r="M215" s="474"/>
      <c r="N215" s="474"/>
      <c r="O215" s="474"/>
      <c r="P215" s="474"/>
      <c r="Q215" s="474"/>
      <c r="R215" s="474"/>
      <c r="S215" s="474"/>
      <c r="T215" s="474"/>
      <c r="AG215" s="47"/>
      <c r="AH215" s="47"/>
      <c r="AI215" s="99">
        <f>IF(C215+D215&gt;0,1,0)</f>
        <v>0</v>
      </c>
      <c r="AK215" s="12"/>
    </row>
    <row r="216" spans="1:37" s="16" customFormat="1" ht="12.75">
      <c r="A216" s="10"/>
      <c r="B216" s="86" t="s">
        <v>424</v>
      </c>
      <c r="C216" s="233" t="str">
        <f>IF(C214*C215&gt;0,C214/C215,"")</f>
        <v/>
      </c>
      <c r="D216" s="233" t="str">
        <f>IF(D214*D215&gt;0,D214/D215,"")</f>
        <v/>
      </c>
      <c r="E216" s="235" t="str">
        <f>IF(C214*C215&gt;0,E214/E215,"")</f>
        <v/>
      </c>
      <c r="F216" s="234">
        <f>IF(E214&lt;500,"o",0.055)</f>
        <v>5.5E-2</v>
      </c>
      <c r="G216" s="236" t="str">
        <f>IF(E216&gt;F216,"&gt;","")</f>
        <v>&gt;</v>
      </c>
      <c r="H216" s="499" t="str">
        <f>IF(C214&lt;500,"o",0.055)</f>
        <v>o</v>
      </c>
      <c r="I216" s="499"/>
      <c r="J216" s="237" t="str">
        <f>IF(E216&gt;H216,"&gt;","")</f>
        <v/>
      </c>
      <c r="K216" s="502" t="str">
        <f>IF(SUM(C215:D215)=0,"",IF(E214&lt;500,"geen eis",IF(G216="&gt;","voldoet niet","voldoet")))</f>
        <v/>
      </c>
      <c r="L216" s="503"/>
      <c r="M216" s="503"/>
      <c r="N216" s="503"/>
      <c r="O216" s="503"/>
      <c r="P216" s="503"/>
      <c r="Q216" s="503"/>
      <c r="R216" s="503"/>
      <c r="S216" s="503"/>
      <c r="T216" s="503"/>
      <c r="AG216" s="47"/>
      <c r="AH216" s="47"/>
      <c r="AI216" s="99">
        <f>AI215</f>
        <v>0</v>
      </c>
      <c r="AK216" s="12"/>
    </row>
    <row r="217" spans="1:37" s="16" customFormat="1" ht="12.75">
      <c r="A217" s="10"/>
      <c r="B217" s="11" t="s">
        <v>249</v>
      </c>
      <c r="C217" s="84">
        <f>'analyse import'!H217</f>
        <v>0</v>
      </c>
      <c r="D217" s="84">
        <f>'analyse import'!I217</f>
        <v>0</v>
      </c>
      <c r="E217" s="75" t="str">
        <f>IF(C217+D217&gt;0,'analyse import'!L217,"")</f>
        <v/>
      </c>
      <c r="F217" s="85"/>
      <c r="G217" s="43"/>
      <c r="H217" s="31"/>
      <c r="I217" s="31"/>
      <c r="T217" s="118"/>
      <c r="AG217" s="47"/>
      <c r="AH217" s="47"/>
      <c r="AI217" s="99">
        <f>IF(C217+D217&gt;0,1,0)</f>
        <v>0</v>
      </c>
      <c r="AK217" s="12">
        <f t="shared" si="110"/>
        <v>0</v>
      </c>
    </row>
    <row r="218" spans="1:37" s="16" customFormat="1" ht="12.75">
      <c r="A218" s="10"/>
      <c r="B218" s="11" t="s">
        <v>249</v>
      </c>
      <c r="C218" s="84">
        <f>'analyse import'!H218</f>
        <v>0</v>
      </c>
      <c r="D218" s="84">
        <f>'analyse import'!I218</f>
        <v>0</v>
      </c>
      <c r="E218" s="75" t="str">
        <f>IF(C218+D218&gt;0,'analyse import'!L218,"")</f>
        <v/>
      </c>
      <c r="F218" s="85"/>
      <c r="G218" s="43"/>
      <c r="H218" s="31"/>
      <c r="I218" s="31"/>
      <c r="T218" s="118"/>
      <c r="AG218" s="47"/>
      <c r="AH218" s="47"/>
      <c r="AI218" s="99">
        <f t="shared" ref="AI218:AI233" si="155">IF(C218+D218&gt;0,1,0)</f>
        <v>0</v>
      </c>
      <c r="AK218" s="12">
        <f t="shared" si="110"/>
        <v>0</v>
      </c>
    </row>
    <row r="219" spans="1:37" s="16" customFormat="1" ht="12.75">
      <c r="A219" s="10"/>
      <c r="B219" s="11" t="s">
        <v>249</v>
      </c>
      <c r="C219" s="84">
        <f>'analyse import'!H219</f>
        <v>0</v>
      </c>
      <c r="D219" s="84">
        <f>'analyse import'!I219</f>
        <v>0</v>
      </c>
      <c r="E219" s="75" t="str">
        <f>IF(C219+D219&gt;0,'analyse import'!L219,"")</f>
        <v/>
      </c>
      <c r="F219" s="85"/>
      <c r="G219" s="43"/>
      <c r="H219" s="31"/>
      <c r="I219" s="31"/>
      <c r="T219" s="118"/>
      <c r="AG219" s="47"/>
      <c r="AH219" s="47"/>
      <c r="AI219" s="99">
        <f t="shared" si="155"/>
        <v>0</v>
      </c>
      <c r="AK219" s="12">
        <f t="shared" si="110"/>
        <v>0</v>
      </c>
    </row>
    <row r="220" spans="1:37" s="16" customFormat="1" ht="12.75">
      <c r="A220" s="10"/>
      <c r="B220" s="11" t="s">
        <v>249</v>
      </c>
      <c r="C220" s="84">
        <f>'analyse import'!H220</f>
        <v>0</v>
      </c>
      <c r="D220" s="84">
        <f>'analyse import'!I220</f>
        <v>0</v>
      </c>
      <c r="E220" s="75" t="str">
        <f>IF(C220+D220&gt;0,'analyse import'!L220,"")</f>
        <v/>
      </c>
      <c r="F220" s="85"/>
      <c r="G220" s="43"/>
      <c r="H220" s="31"/>
      <c r="I220" s="31"/>
      <c r="T220" s="118"/>
      <c r="AG220" s="47"/>
      <c r="AH220" s="47"/>
      <c r="AI220" s="99">
        <f t="shared" si="155"/>
        <v>0</v>
      </c>
      <c r="AK220" s="12">
        <f t="shared" si="110"/>
        <v>0</v>
      </c>
    </row>
    <row r="221" spans="1:37" s="16" customFormat="1" ht="12.75">
      <c r="A221" s="10"/>
      <c r="B221" s="11" t="s">
        <v>249</v>
      </c>
      <c r="C221" s="84">
        <f>'analyse import'!H221</f>
        <v>0</v>
      </c>
      <c r="D221" s="84">
        <f>'analyse import'!I221</f>
        <v>0</v>
      </c>
      <c r="E221" s="75" t="str">
        <f>IF(C221+D221&gt;0,'analyse import'!L221,"")</f>
        <v/>
      </c>
      <c r="F221" s="85"/>
      <c r="G221" s="43"/>
      <c r="H221" s="31"/>
      <c r="I221" s="31"/>
      <c r="T221" s="118"/>
      <c r="AG221" s="47"/>
      <c r="AH221" s="47"/>
      <c r="AI221" s="99">
        <f t="shared" si="155"/>
        <v>0</v>
      </c>
      <c r="AK221" s="12">
        <f t="shared" ref="AK221:AK233" si="156">IF(K221="X",1,0)</f>
        <v>0</v>
      </c>
    </row>
    <row r="222" spans="1:37" s="16" customFormat="1" ht="12.75">
      <c r="A222" s="10"/>
      <c r="B222" s="11" t="s">
        <v>250</v>
      </c>
      <c r="C222" s="84">
        <f>'analyse import'!H222</f>
        <v>0</v>
      </c>
      <c r="D222" s="84">
        <f>'analyse import'!I222</f>
        <v>0</v>
      </c>
      <c r="E222" s="75" t="str">
        <f>IF(C222+D222&gt;0,'analyse import'!L222,"")</f>
        <v/>
      </c>
      <c r="F222" s="85"/>
      <c r="G222" s="43"/>
      <c r="H222" s="40"/>
      <c r="I222" s="40"/>
      <c r="T222" s="118"/>
      <c r="AG222" s="47"/>
      <c r="AH222" s="47"/>
      <c r="AI222" s="99">
        <f t="shared" si="155"/>
        <v>0</v>
      </c>
      <c r="AK222" s="12">
        <f t="shared" si="156"/>
        <v>0</v>
      </c>
    </row>
    <row r="223" spans="1:37" s="16" customFormat="1" ht="12.75">
      <c r="A223" s="10"/>
      <c r="B223" s="11" t="s">
        <v>250</v>
      </c>
      <c r="C223" s="84">
        <f>'analyse import'!H223</f>
        <v>0</v>
      </c>
      <c r="D223" s="84">
        <f>'analyse import'!I223</f>
        <v>0</v>
      </c>
      <c r="E223" s="75" t="str">
        <f>IF(C223+D223&gt;0,'analyse import'!L223,"")</f>
        <v/>
      </c>
      <c r="F223" s="85"/>
      <c r="G223" s="43"/>
      <c r="H223" s="40"/>
      <c r="I223" s="40"/>
      <c r="T223" s="118"/>
      <c r="AG223" s="47"/>
      <c r="AH223" s="47"/>
      <c r="AI223" s="99">
        <f t="shared" si="155"/>
        <v>0</v>
      </c>
      <c r="AK223" s="12">
        <f t="shared" si="156"/>
        <v>0</v>
      </c>
    </row>
    <row r="224" spans="1:37" s="16" customFormat="1" ht="12.75">
      <c r="A224" s="10"/>
      <c r="B224" s="11" t="s">
        <v>250</v>
      </c>
      <c r="C224" s="84">
        <f>'analyse import'!H224</f>
        <v>0</v>
      </c>
      <c r="D224" s="84">
        <f>'analyse import'!I224</f>
        <v>0</v>
      </c>
      <c r="E224" s="75" t="str">
        <f>IF(C224+D224&gt;0,'analyse import'!L224,"")</f>
        <v/>
      </c>
      <c r="F224" s="85"/>
      <c r="G224" s="43"/>
      <c r="H224" s="40"/>
      <c r="I224" s="40"/>
      <c r="T224" s="118"/>
      <c r="AG224" s="47"/>
      <c r="AH224" s="47"/>
      <c r="AI224" s="99">
        <f t="shared" si="155"/>
        <v>0</v>
      </c>
      <c r="AK224" s="12">
        <f t="shared" si="156"/>
        <v>0</v>
      </c>
    </row>
    <row r="225" spans="1:38" s="16" customFormat="1" ht="12.75">
      <c r="A225" s="10"/>
      <c r="B225" s="11" t="s">
        <v>250</v>
      </c>
      <c r="C225" s="84">
        <f>'analyse import'!H225</f>
        <v>0</v>
      </c>
      <c r="D225" s="84">
        <f>'analyse import'!I225</f>
        <v>0</v>
      </c>
      <c r="E225" s="75" t="str">
        <f>IF(C225+D225&gt;0,'analyse import'!L225,"")</f>
        <v/>
      </c>
      <c r="F225" s="29"/>
      <c r="G225" s="43"/>
      <c r="H225" s="40"/>
      <c r="I225" s="40"/>
      <c r="T225" s="118"/>
      <c r="AG225" s="47"/>
      <c r="AH225" s="47"/>
      <c r="AI225" s="99">
        <f t="shared" si="155"/>
        <v>0</v>
      </c>
      <c r="AK225" s="12">
        <f t="shared" si="156"/>
        <v>0</v>
      </c>
    </row>
    <row r="226" spans="1:38" s="16" customFormat="1" ht="12.75">
      <c r="A226" s="10"/>
      <c r="B226" s="11" t="s">
        <v>250</v>
      </c>
      <c r="C226" s="84">
        <f>'analyse import'!H226</f>
        <v>0</v>
      </c>
      <c r="D226" s="84">
        <f>'analyse import'!I226</f>
        <v>0</v>
      </c>
      <c r="E226" s="75" t="str">
        <f>IF(C226+D226&gt;0,'analyse import'!L226,"")</f>
        <v/>
      </c>
      <c r="F226" s="29"/>
      <c r="G226" s="43"/>
      <c r="H226" s="40"/>
      <c r="I226" s="40"/>
      <c r="T226" s="118"/>
      <c r="AG226" s="47"/>
      <c r="AH226" s="47"/>
      <c r="AI226" s="99">
        <f t="shared" si="155"/>
        <v>0</v>
      </c>
      <c r="AK226" s="12">
        <f t="shared" si="156"/>
        <v>0</v>
      </c>
    </row>
    <row r="227" spans="1:38" s="16" customFormat="1" ht="12.75">
      <c r="A227" s="10"/>
      <c r="B227" s="11" t="s">
        <v>250</v>
      </c>
      <c r="C227" s="84">
        <f>'analyse import'!H227</f>
        <v>0</v>
      </c>
      <c r="D227" s="84">
        <f>'analyse import'!I227</f>
        <v>0</v>
      </c>
      <c r="E227" s="75" t="str">
        <f>IF(C227+D227&gt;0,'analyse import'!L227,"")</f>
        <v/>
      </c>
      <c r="F227" s="29"/>
      <c r="G227" s="43"/>
      <c r="H227" s="40"/>
      <c r="I227" s="40"/>
      <c r="T227" s="118"/>
      <c r="AG227" s="47"/>
      <c r="AH227" s="47"/>
      <c r="AI227" s="99">
        <f t="shared" si="155"/>
        <v>0</v>
      </c>
      <c r="AK227" s="12">
        <f t="shared" si="156"/>
        <v>0</v>
      </c>
    </row>
    <row r="228" spans="1:38" s="16" customFormat="1" ht="12.75">
      <c r="A228" s="10"/>
      <c r="B228" s="11" t="s">
        <v>250</v>
      </c>
      <c r="C228" s="84">
        <f>'analyse import'!H228</f>
        <v>0</v>
      </c>
      <c r="D228" s="84">
        <f>'analyse import'!I228</f>
        <v>0</v>
      </c>
      <c r="E228" s="75" t="str">
        <f>IF(C228+D228&gt;0,'analyse import'!L228,"")</f>
        <v/>
      </c>
      <c r="F228" s="29"/>
      <c r="G228" s="43"/>
      <c r="H228" s="40"/>
      <c r="I228" s="40"/>
      <c r="T228" s="118"/>
      <c r="AG228" s="47"/>
      <c r="AH228" s="47"/>
      <c r="AI228" s="99">
        <f t="shared" si="155"/>
        <v>0</v>
      </c>
      <c r="AK228" s="12">
        <f t="shared" si="156"/>
        <v>0</v>
      </c>
    </row>
    <row r="229" spans="1:38" s="16" customFormat="1" ht="12.75">
      <c r="A229" s="10"/>
      <c r="B229" s="11" t="s">
        <v>250</v>
      </c>
      <c r="C229" s="84">
        <f>'analyse import'!H229</f>
        <v>0</v>
      </c>
      <c r="D229" s="84">
        <f>'analyse import'!I229</f>
        <v>0</v>
      </c>
      <c r="E229" s="75" t="str">
        <f>IF(C229+D229&gt;0,'analyse import'!L229,"")</f>
        <v/>
      </c>
      <c r="F229" s="29"/>
      <c r="G229" s="43"/>
      <c r="H229" s="40"/>
      <c r="I229" s="40"/>
      <c r="T229" s="118"/>
      <c r="AG229" s="47"/>
      <c r="AH229" s="47"/>
      <c r="AI229" s="99">
        <f t="shared" si="155"/>
        <v>0</v>
      </c>
      <c r="AK229" s="12">
        <f t="shared" si="156"/>
        <v>0</v>
      </c>
    </row>
    <row r="230" spans="1:38" s="16" customFormat="1" ht="12.75">
      <c r="A230" s="10"/>
      <c r="B230" s="11" t="s">
        <v>250</v>
      </c>
      <c r="C230" s="84">
        <f>'analyse import'!H230</f>
        <v>0</v>
      </c>
      <c r="D230" s="84">
        <f>'analyse import'!I230</f>
        <v>0</v>
      </c>
      <c r="E230" s="75" t="str">
        <f>IF(C230+D230&gt;0,'analyse import'!L230,"")</f>
        <v/>
      </c>
      <c r="F230" s="29"/>
      <c r="G230" s="43"/>
      <c r="H230" s="40"/>
      <c r="I230" s="40"/>
      <c r="T230" s="118"/>
      <c r="AG230" s="47"/>
      <c r="AH230" s="47"/>
      <c r="AI230" s="99">
        <f t="shared" si="155"/>
        <v>0</v>
      </c>
      <c r="AK230" s="12">
        <f t="shared" si="156"/>
        <v>0</v>
      </c>
    </row>
    <row r="231" spans="1:38" s="16" customFormat="1" ht="12.75">
      <c r="A231" s="10"/>
      <c r="B231" s="11" t="s">
        <v>250</v>
      </c>
      <c r="C231" s="84">
        <f>'analyse import'!H231</f>
        <v>0</v>
      </c>
      <c r="D231" s="84">
        <f>'analyse import'!I231</f>
        <v>0</v>
      </c>
      <c r="E231" s="75" t="str">
        <f>IF(C231+D231&gt;0,'analyse import'!L231,"")</f>
        <v/>
      </c>
      <c r="F231" s="29"/>
      <c r="G231" s="43"/>
      <c r="H231" s="40"/>
      <c r="I231" s="40"/>
      <c r="T231" s="118"/>
      <c r="AG231" s="47"/>
      <c r="AH231" s="47"/>
      <c r="AI231" s="99">
        <f t="shared" si="155"/>
        <v>0</v>
      </c>
      <c r="AK231" s="12">
        <f t="shared" si="156"/>
        <v>0</v>
      </c>
    </row>
    <row r="232" spans="1:38" s="16" customFormat="1" ht="12.75">
      <c r="A232" s="10"/>
      <c r="B232" s="11" t="s">
        <v>250</v>
      </c>
      <c r="C232" s="84">
        <f>'analyse import'!H232</f>
        <v>0</v>
      </c>
      <c r="D232" s="84">
        <f>'analyse import'!I232</f>
        <v>0</v>
      </c>
      <c r="E232" s="75" t="str">
        <f>IF(C232+D232&gt;0,'analyse import'!L232,"")</f>
        <v/>
      </c>
      <c r="F232" s="29"/>
      <c r="G232" s="43"/>
      <c r="H232" s="40"/>
      <c r="I232" s="40"/>
      <c r="T232" s="118"/>
      <c r="AG232" s="47"/>
      <c r="AH232" s="47"/>
      <c r="AI232" s="99">
        <f t="shared" si="155"/>
        <v>0</v>
      </c>
      <c r="AK232" s="12">
        <f t="shared" si="156"/>
        <v>0</v>
      </c>
    </row>
    <row r="233" spans="1:38" s="16" customFormat="1" ht="12.75">
      <c r="A233" s="10"/>
      <c r="B233" s="11" t="s">
        <v>250</v>
      </c>
      <c r="C233" s="133">
        <f>'analyse import'!H233</f>
        <v>0</v>
      </c>
      <c r="D233" s="84">
        <f>'analyse import'!I233</f>
        <v>0</v>
      </c>
      <c r="E233" s="75" t="str">
        <f>IF(C233+D233&gt;0,'analyse import'!L233,"")</f>
        <v/>
      </c>
      <c r="F233" s="29"/>
      <c r="G233" s="43"/>
      <c r="H233" s="40"/>
      <c r="I233" s="40"/>
      <c r="T233" s="118"/>
      <c r="AG233" s="47"/>
      <c r="AH233" s="47"/>
      <c r="AI233" s="99">
        <f t="shared" si="155"/>
        <v>0</v>
      </c>
      <c r="AK233" s="12">
        <f t="shared" si="156"/>
        <v>0</v>
      </c>
    </row>
    <row r="234" spans="1:38">
      <c r="A234" s="98"/>
      <c r="B234" s="89"/>
      <c r="C234" s="89" t="s">
        <v>322</v>
      </c>
      <c r="D234" s="89"/>
      <c r="E234" s="89"/>
      <c r="F234" s="89"/>
      <c r="G234" s="89"/>
      <c r="H234" s="87"/>
      <c r="I234" s="87"/>
      <c r="J234" s="87"/>
      <c r="K234" s="89" t="s">
        <v>618</v>
      </c>
      <c r="L234" s="87"/>
      <c r="M234" s="87"/>
      <c r="N234" s="87"/>
      <c r="O234" s="87"/>
      <c r="P234" s="87"/>
      <c r="Q234" s="375" t="str">
        <f ca="1">IF(T17&gt;0,T17,"")</f>
        <v/>
      </c>
      <c r="R234" s="87"/>
      <c r="S234" s="87"/>
      <c r="T234" s="123"/>
      <c r="AF234" s="12"/>
      <c r="AI234" s="45">
        <v>1</v>
      </c>
    </row>
    <row r="235" spans="1:38">
      <c r="C235" s="11" t="s">
        <v>327</v>
      </c>
      <c r="Q235" s="376">
        <f>'analyse import'!N236</f>
        <v>0</v>
      </c>
      <c r="R235" s="143" t="s">
        <v>328</v>
      </c>
      <c r="AF235" s="12"/>
      <c r="AI235" s="45">
        <v>1</v>
      </c>
    </row>
    <row r="236" spans="1:38">
      <c r="C236" s="11" t="s">
        <v>330</v>
      </c>
      <c r="L236" s="144"/>
      <c r="M236" s="56"/>
      <c r="N236" s="56"/>
      <c r="O236" s="56"/>
      <c r="P236" s="56"/>
      <c r="Q236" s="376">
        <f>Q235</f>
        <v>0</v>
      </c>
      <c r="R236" s="144" t="s">
        <v>329</v>
      </c>
      <c r="S236" s="56"/>
      <c r="T236" s="115"/>
      <c r="AF236" s="12"/>
      <c r="AI236" s="45">
        <v>1</v>
      </c>
    </row>
    <row r="237" spans="1:38" ht="6" customHeight="1" thickBot="1">
      <c r="S237" s="251"/>
      <c r="T237" s="255"/>
      <c r="AF237" s="12"/>
      <c r="AI237" s="45">
        <v>1</v>
      </c>
    </row>
    <row r="238" spans="1:38" ht="11.25" customHeight="1" thickBot="1">
      <c r="C238" s="253" t="s">
        <v>450</v>
      </c>
      <c r="D238" s="253"/>
      <c r="E238" s="253"/>
      <c r="F238" s="253"/>
      <c r="G238" s="253"/>
      <c r="H238" s="254"/>
      <c r="I238" s="254"/>
      <c r="J238" s="254"/>
      <c r="K238" s="260"/>
      <c r="L238" s="493" t="str">
        <f>start!I20</f>
        <v/>
      </c>
      <c r="M238" s="494"/>
      <c r="N238" s="494"/>
      <c r="O238" s="494"/>
      <c r="P238" s="494"/>
      <c r="Q238" s="494"/>
      <c r="R238" s="495"/>
      <c r="AF238" s="12"/>
      <c r="AI238" s="99">
        <f>IF(start!I18&lt;7,1,0)</f>
        <v>0</v>
      </c>
    </row>
    <row r="239" spans="1:38" ht="11.25" customHeight="1">
      <c r="A239" s="158"/>
      <c r="B239" s="39"/>
      <c r="C239" s="252" t="s">
        <v>333</v>
      </c>
      <c r="D239" s="253"/>
      <c r="E239" s="253"/>
      <c r="F239" s="253"/>
      <c r="G239" s="253"/>
      <c r="H239" s="254"/>
      <c r="I239" s="254"/>
      <c r="J239" s="254"/>
      <c r="K239" s="254"/>
      <c r="L239" s="490" t="str">
        <f ca="1">IF(start!D11=1,'teller overschrijdingen'!B223,'teller overschrijdingen'!C223)</f>
        <v>achtergrondwaarde</v>
      </c>
      <c r="M239" s="491"/>
      <c r="N239" s="491"/>
      <c r="O239" s="491"/>
      <c r="P239" s="491"/>
      <c r="Q239" s="491"/>
      <c r="R239" s="492"/>
      <c r="S239" s="157"/>
      <c r="T239" s="115"/>
      <c r="AF239" s="12"/>
      <c r="AI239" s="45">
        <v>1</v>
      </c>
      <c r="AL239" s="11">
        <f ca="1">IF(L239="uitlogen",5,IF(L239="industrie",3,IF(L239="wonen",2,IF(L239="achtergrondwaarde",1,4))))</f>
        <v>1</v>
      </c>
    </row>
    <row r="240" spans="1:38" ht="11.25" customHeight="1">
      <c r="C240" s="252" t="s">
        <v>334</v>
      </c>
      <c r="D240" s="253"/>
      <c r="E240" s="253"/>
      <c r="F240" s="253"/>
      <c r="G240" s="253"/>
      <c r="H240" s="254"/>
      <c r="I240" s="254"/>
      <c r="J240" s="254"/>
      <c r="K240" s="254"/>
      <c r="L240" s="468" t="str">
        <f ca="1">IF(L239="achtergrondwaarde","achtergrondwaarde",IF(start!D11=1,'teller overschrijdingen'!I223,'teller overschrijdingen'!L223))</f>
        <v>achtergrondwaarde</v>
      </c>
      <c r="M240" s="471"/>
      <c r="N240" s="471"/>
      <c r="O240" s="471"/>
      <c r="P240" s="471"/>
      <c r="Q240" s="471"/>
      <c r="R240" s="472"/>
      <c r="V240" s="464"/>
      <c r="W240" s="464"/>
      <c r="X240" s="464"/>
      <c r="AF240" s="12"/>
      <c r="AI240" s="45">
        <v>1</v>
      </c>
      <c r="AL240" s="11">
        <f ca="1">IF(L240="uitlogen",5,IF(L240="klasse B",3,IF(L240="klasse A",2,IF(L240="achtergrondwaarde",1,4))))</f>
        <v>1</v>
      </c>
    </row>
    <row r="241" spans="3:39" ht="11.25" customHeight="1">
      <c r="C241" s="252" t="s">
        <v>335</v>
      </c>
      <c r="D241" s="253"/>
      <c r="E241" s="253"/>
      <c r="F241" s="253"/>
      <c r="G241" s="253"/>
      <c r="H241" s="254"/>
      <c r="I241" s="254"/>
      <c r="J241" s="254"/>
      <c r="K241" s="254"/>
      <c r="L241" s="468" t="str">
        <f ca="1">'teller overschrijdingen'!B225</f>
        <v>achtergrondwaarde</v>
      </c>
      <c r="M241" s="469"/>
      <c r="N241" s="469"/>
      <c r="O241" s="469"/>
      <c r="P241" s="469"/>
      <c r="Q241" s="469"/>
      <c r="R241" s="470"/>
      <c r="AF241" s="12"/>
      <c r="AI241" s="45">
        <v>1</v>
      </c>
      <c r="AL241" s="11">
        <f ca="1">IF(L241="industrie",3,IF(L241="wonen",2,IF(L241="achtergrondwaarde",1,4)))</f>
        <v>1</v>
      </c>
    </row>
    <row r="242" spans="3:39" ht="11.25" customHeight="1">
      <c r="C242" s="252" t="s">
        <v>336</v>
      </c>
      <c r="D242" s="253"/>
      <c r="E242" s="253"/>
      <c r="F242" s="253"/>
      <c r="G242" s="253"/>
      <c r="H242" s="254"/>
      <c r="I242" s="254"/>
      <c r="J242" s="254"/>
      <c r="K242" s="254"/>
      <c r="L242" s="468" t="str">
        <f ca="1">IF(L241="achtergrondwaarde","achtergrondwaarde",IF(L240="niet toepasbaar","niet toepasbaar",'teller overschrijdingen'!O223))</f>
        <v>achtergrondwaarde</v>
      </c>
      <c r="M242" s="469"/>
      <c r="N242" s="469"/>
      <c r="O242" s="469"/>
      <c r="P242" s="469"/>
      <c r="Q242" s="469"/>
      <c r="R242" s="470"/>
      <c r="AF242" s="12"/>
      <c r="AI242" s="45">
        <v>1</v>
      </c>
      <c r="AL242" s="11">
        <f ca="1">IF(L242="klasse B",3,IF(L242="klasse A",2,IF(L242="achtergrondwaarde",1,4)))</f>
        <v>1</v>
      </c>
    </row>
    <row r="243" spans="3:39" ht="12.6" customHeight="1">
      <c r="C243" s="252" t="s">
        <v>315</v>
      </c>
      <c r="D243" s="253"/>
      <c r="E243" s="253"/>
      <c r="F243" s="253"/>
      <c r="G243" s="253"/>
      <c r="H243" s="254"/>
      <c r="I243" s="254"/>
      <c r="J243" s="254"/>
      <c r="K243" s="254"/>
      <c r="L243" s="468" t="str">
        <f ca="1">IF('teller overschrijdingen'!B227="NVT","NVT",IF(L239="achtergrondwaarde","achtergrondwaarde",'teller overschrijdingen'!B227))</f>
        <v>achtergrondwaarde</v>
      </c>
      <c r="M243" s="469"/>
      <c r="N243" s="469"/>
      <c r="O243" s="469"/>
      <c r="P243" s="469"/>
      <c r="Q243" s="469"/>
      <c r="R243" s="470"/>
      <c r="AF243" s="12"/>
      <c r="AI243" s="45">
        <v>1</v>
      </c>
      <c r="AL243" s="11">
        <f ca="1">IF(AL239&lt;&gt;4,1,(IF(L239="uitlogen",99,1)))</f>
        <v>1</v>
      </c>
    </row>
    <row r="244" spans="3:39" ht="12.6" customHeight="1">
      <c r="C244" s="252" t="s">
        <v>316</v>
      </c>
      <c r="D244" s="253"/>
      <c r="E244" s="253"/>
      <c r="F244" s="253"/>
      <c r="G244" s="253"/>
      <c r="H244" s="254"/>
      <c r="I244" s="254"/>
      <c r="J244" s="254"/>
      <c r="K244" s="254"/>
      <c r="L244" s="468" t="str">
        <f>'teller overschrijdingen'!I227</f>
        <v>NVT</v>
      </c>
      <c r="M244" s="471"/>
      <c r="N244" s="471"/>
      <c r="O244" s="471"/>
      <c r="P244" s="471"/>
      <c r="Q244" s="471"/>
      <c r="R244" s="472"/>
      <c r="AF244" s="12"/>
      <c r="AI244" s="45">
        <v>1</v>
      </c>
      <c r="AJ244" s="145">
        <f ca="1">MAX(T30:T195)</f>
        <v>0</v>
      </c>
    </row>
    <row r="245" spans="3:39" ht="12.6" customHeight="1">
      <c r="C245" s="250" t="s">
        <v>608</v>
      </c>
      <c r="D245" s="86"/>
      <c r="E245" s="86"/>
      <c r="F245" s="86"/>
      <c r="G245" s="86"/>
      <c r="H245" s="251"/>
      <c r="I245" s="251"/>
      <c r="J245" s="251"/>
      <c r="K245" s="251"/>
      <c r="L245" s="468" t="str">
        <f ca="1">IF('msPAF org'!B31=0,"niet verspreidbaar op aangrenzend land","verspreidbaar op aangrenzend land")</f>
        <v>verspreidbaar op aangrenzend land</v>
      </c>
      <c r="M245" s="469"/>
      <c r="N245" s="469"/>
      <c r="O245" s="469"/>
      <c r="P245" s="469"/>
      <c r="Q245" s="469"/>
      <c r="R245" s="470"/>
      <c r="AF245" s="12"/>
      <c r="AI245" s="45">
        <f>AI251</f>
        <v>0</v>
      </c>
      <c r="AJ245" s="145"/>
    </row>
    <row r="246" spans="3:39" ht="11.25" customHeight="1">
      <c r="C246" s="250" t="s">
        <v>297</v>
      </c>
      <c r="D246" s="86"/>
      <c r="E246" s="86"/>
      <c r="F246" s="86"/>
      <c r="G246" s="86"/>
      <c r="H246" s="251"/>
      <c r="I246" s="251"/>
      <c r="J246" s="251"/>
      <c r="K246" s="251"/>
      <c r="L246" s="465" t="str">
        <f>'teller overschrijdingen'!J242</f>
        <v>grond</v>
      </c>
      <c r="M246" s="466"/>
      <c r="N246" s="466"/>
      <c r="O246" s="466"/>
      <c r="P246" s="466"/>
      <c r="Q246" s="466"/>
      <c r="R246" s="467"/>
      <c r="AF246" s="12"/>
      <c r="AI246" s="45">
        <f>AI24</f>
        <v>0</v>
      </c>
    </row>
    <row r="247" spans="3:39" ht="11.25" customHeight="1" thickBot="1">
      <c r="C247" s="253" t="s">
        <v>631</v>
      </c>
      <c r="D247" s="253"/>
      <c r="E247" s="253"/>
      <c r="F247" s="253"/>
      <c r="G247" s="253"/>
      <c r="H247" s="254"/>
      <c r="I247" s="254"/>
      <c r="J247" s="254"/>
      <c r="K247" s="260"/>
      <c r="L247" s="461"/>
      <c r="M247" s="462"/>
      <c r="N247" s="462"/>
      <c r="O247" s="462"/>
      <c r="P247" s="462"/>
      <c r="Q247" s="462"/>
      <c r="R247" s="463"/>
      <c r="AF247" s="12"/>
      <c r="AI247" s="45">
        <v>0</v>
      </c>
    </row>
    <row r="248" spans="3:39" ht="11.25" customHeight="1">
      <c r="C248" s="11" t="s">
        <v>451</v>
      </c>
      <c r="AF248" s="12"/>
      <c r="AI248" s="45">
        <f>AI30</f>
        <v>0</v>
      </c>
    </row>
    <row r="249" spans="3:39" ht="11.25" customHeight="1">
      <c r="C249" s="11" t="s">
        <v>619</v>
      </c>
      <c r="AF249" s="12"/>
      <c r="AI249" s="45">
        <f>AI248</f>
        <v>0</v>
      </c>
    </row>
    <row r="250" spans="3:39" ht="11.25" customHeight="1">
      <c r="C250" s="11" t="str">
        <f>IF(start!H22=11,"[#]: Tijdelijke vrijstellingsregeling tarragrond van toepassing (eindigt op 30 juni 2015). Art. 5.1.7 RBK","")</f>
        <v/>
      </c>
      <c r="AF250" s="12"/>
      <c r="AI250" s="45">
        <f>IF(start!H22=11,1,0)</f>
        <v>0</v>
      </c>
    </row>
    <row r="251" spans="3:39">
      <c r="C251" s="11" t="str">
        <f>+IF(start!H22=10,"[@]: In geval waterbodemmateriaal wordt toegepast in een GBT geldt voor olie een Industrie-norm van 2000 mg/kgds, anders 500 mg/kgds","")</f>
        <v/>
      </c>
      <c r="AF251" s="12"/>
      <c r="AI251" s="45">
        <f>IF(start!H22=10,1,0)</f>
        <v>0</v>
      </c>
    </row>
    <row r="252" spans="3:39">
      <c r="C252" s="86" t="s">
        <v>415</v>
      </c>
      <c r="D252" s="86"/>
      <c r="E252" s="86"/>
      <c r="F252" s="86"/>
      <c r="G252" s="86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5"/>
      <c r="AF252" s="12"/>
      <c r="AI252" s="45">
        <f>AI238</f>
        <v>0</v>
      </c>
    </row>
    <row r="253" spans="3:39">
      <c r="C253" s="89"/>
      <c r="D253" s="89"/>
      <c r="E253" s="89"/>
      <c r="F253" s="89"/>
      <c r="G253" s="89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123"/>
      <c r="AF253" s="12"/>
      <c r="AI253" s="45">
        <v>1</v>
      </c>
      <c r="AM253" s="1"/>
    </row>
    <row r="254" spans="3:39">
      <c r="AF254" s="12"/>
      <c r="AM254" s="1"/>
    </row>
    <row r="255" spans="3:39">
      <c r="AF255" s="12"/>
      <c r="AM255" s="1"/>
    </row>
    <row r="256" spans="3:39" ht="11.25" customHeight="1">
      <c r="AF256" s="12"/>
      <c r="AM256" s="1"/>
    </row>
    <row r="257" spans="32:39">
      <c r="AF257" s="12"/>
      <c r="AM257" s="1"/>
    </row>
    <row r="258" spans="32:39">
      <c r="AF258" s="12"/>
      <c r="AM258" s="1"/>
    </row>
    <row r="259" spans="32:39">
      <c r="AF259" s="12"/>
    </row>
    <row r="260" spans="32:39">
      <c r="AF260" s="12"/>
    </row>
    <row r="261" spans="32:39">
      <c r="AF261" s="12"/>
    </row>
    <row r="262" spans="32:39">
      <c r="AF262" s="12"/>
    </row>
    <row r="263" spans="32:39">
      <c r="AF263" s="12"/>
    </row>
    <row r="264" spans="32:39">
      <c r="AF264" s="12"/>
    </row>
    <row r="265" spans="32:39">
      <c r="AF265" s="12"/>
    </row>
    <row r="266" spans="32:39">
      <c r="AF266" s="12"/>
    </row>
    <row r="267" spans="32:39">
      <c r="AF267" s="12"/>
    </row>
    <row r="268" spans="32:39">
      <c r="AF268" s="12"/>
    </row>
    <row r="269" spans="32:39">
      <c r="AF269" s="12"/>
    </row>
    <row r="270" spans="32:39">
      <c r="AF270" s="12"/>
    </row>
    <row r="271" spans="32:39">
      <c r="AF271" s="12"/>
    </row>
    <row r="272" spans="32:39">
      <c r="AF272" s="12"/>
    </row>
    <row r="273" spans="32:32">
      <c r="AF273" s="12"/>
    </row>
    <row r="274" spans="32:32">
      <c r="AF274" s="12"/>
    </row>
    <row r="275" spans="32:32">
      <c r="AF275" s="12"/>
    </row>
    <row r="276" spans="32:32">
      <c r="AF276" s="12"/>
    </row>
    <row r="277" spans="32:32">
      <c r="AF277" s="12"/>
    </row>
    <row r="278" spans="32:32">
      <c r="AF278" s="12"/>
    </row>
    <row r="279" spans="32:32">
      <c r="AF279" s="12"/>
    </row>
    <row r="280" spans="32:32">
      <c r="AF280" s="12"/>
    </row>
    <row r="281" spans="32:32">
      <c r="AF281" s="12"/>
    </row>
    <row r="282" spans="32:32">
      <c r="AF282" s="12"/>
    </row>
    <row r="283" spans="32:32">
      <c r="AF283" s="12"/>
    </row>
    <row r="284" spans="32:32">
      <c r="AF284" s="12"/>
    </row>
    <row r="285" spans="32:32">
      <c r="AF285" s="12"/>
    </row>
    <row r="286" spans="32:32">
      <c r="AF286" s="12"/>
    </row>
    <row r="287" spans="32:32">
      <c r="AF287" s="12"/>
    </row>
    <row r="288" spans="32:32">
      <c r="AF288" s="12"/>
    </row>
    <row r="289" spans="32:32">
      <c r="AF289" s="12"/>
    </row>
    <row r="290" spans="32:32">
      <c r="AF290" s="12"/>
    </row>
    <row r="291" spans="32:32">
      <c r="AF291" s="12"/>
    </row>
    <row r="292" spans="32:32">
      <c r="AF292" s="12"/>
    </row>
    <row r="293" spans="32:32">
      <c r="AF293" s="12"/>
    </row>
    <row r="294" spans="32:32">
      <c r="AF294" s="12"/>
    </row>
    <row r="295" spans="32:32">
      <c r="AF295" s="12"/>
    </row>
    <row r="296" spans="32:32">
      <c r="AF296" s="12"/>
    </row>
    <row r="297" spans="32:32">
      <c r="AF297" s="12"/>
    </row>
    <row r="298" spans="32:32">
      <c r="AF298" s="12"/>
    </row>
    <row r="299" spans="32:32">
      <c r="AF299" s="12"/>
    </row>
    <row r="300" spans="32:32">
      <c r="AF300" s="12"/>
    </row>
    <row r="301" spans="32:32">
      <c r="AF301" s="12"/>
    </row>
    <row r="302" spans="32:32">
      <c r="AF302" s="12"/>
    </row>
    <row r="303" spans="32:32">
      <c r="AF303" s="12"/>
    </row>
    <row r="304" spans="32:32">
      <c r="AF304" s="12"/>
    </row>
    <row r="305" spans="32:32">
      <c r="AF305" s="12"/>
    </row>
    <row r="306" spans="32:32">
      <c r="AF306" s="12"/>
    </row>
    <row r="307" spans="32:32">
      <c r="AF307" s="12"/>
    </row>
    <row r="308" spans="32:32">
      <c r="AF308" s="12"/>
    </row>
    <row r="309" spans="32:32">
      <c r="AF309" s="12"/>
    </row>
    <row r="310" spans="32:32">
      <c r="AF310" s="12"/>
    </row>
    <row r="311" spans="32:32">
      <c r="AF311" s="12"/>
    </row>
    <row r="312" spans="32:32">
      <c r="AF312" s="12"/>
    </row>
    <row r="313" spans="32:32">
      <c r="AF313" s="12"/>
    </row>
    <row r="314" spans="32:32">
      <c r="AF314" s="12"/>
    </row>
    <row r="315" spans="32:32">
      <c r="AF315" s="12"/>
    </row>
    <row r="316" spans="32:32">
      <c r="AF316" s="12"/>
    </row>
    <row r="317" spans="32:32">
      <c r="AF317" s="12"/>
    </row>
    <row r="318" spans="32:32">
      <c r="AF318" s="12"/>
    </row>
    <row r="319" spans="32:32">
      <c r="AF319" s="12"/>
    </row>
    <row r="320" spans="32:32">
      <c r="AF320" s="12"/>
    </row>
    <row r="321" spans="32:32">
      <c r="AF321" s="12"/>
    </row>
    <row r="322" spans="32:32">
      <c r="AF322" s="12"/>
    </row>
    <row r="323" spans="32:32">
      <c r="AF323" s="12"/>
    </row>
    <row r="324" spans="32:32">
      <c r="AF324" s="12"/>
    </row>
    <row r="325" spans="32:32">
      <c r="AF325" s="12"/>
    </row>
    <row r="326" spans="32:32">
      <c r="AF326" s="12"/>
    </row>
    <row r="327" spans="32:32">
      <c r="AF327" s="12"/>
    </row>
    <row r="328" spans="32:32">
      <c r="AF328" s="12"/>
    </row>
    <row r="329" spans="32:32">
      <c r="AF329" s="12"/>
    </row>
    <row r="330" spans="32:32">
      <c r="AF330" s="12"/>
    </row>
    <row r="331" spans="32:32">
      <c r="AF331" s="12"/>
    </row>
    <row r="332" spans="32:32">
      <c r="AF332" s="12"/>
    </row>
    <row r="333" spans="32:32">
      <c r="AF333" s="12"/>
    </row>
    <row r="334" spans="32:32">
      <c r="AF334" s="12"/>
    </row>
    <row r="335" spans="32:32">
      <c r="AF335" s="12"/>
    </row>
    <row r="336" spans="32:32">
      <c r="AF336" s="12"/>
    </row>
    <row r="337" spans="32:32">
      <c r="AF337" s="12"/>
    </row>
    <row r="338" spans="32:32">
      <c r="AF338" s="12"/>
    </row>
    <row r="339" spans="32:32">
      <c r="AF339" s="12"/>
    </row>
    <row r="340" spans="32:32">
      <c r="AF340" s="12"/>
    </row>
    <row r="341" spans="32:32">
      <c r="AF341" s="12"/>
    </row>
    <row r="342" spans="32:32">
      <c r="AF342" s="12"/>
    </row>
    <row r="343" spans="32:32">
      <c r="AF343" s="12"/>
    </row>
    <row r="344" spans="32:32">
      <c r="AF344" s="12"/>
    </row>
    <row r="345" spans="32:32">
      <c r="AF345" s="12"/>
    </row>
    <row r="346" spans="32:32">
      <c r="AF346" s="12"/>
    </row>
    <row r="347" spans="32:32">
      <c r="AF347" s="12"/>
    </row>
    <row r="348" spans="32:32">
      <c r="AF348" s="12"/>
    </row>
    <row r="349" spans="32:32">
      <c r="AF349" s="12"/>
    </row>
    <row r="350" spans="32:32">
      <c r="AF350" s="12"/>
    </row>
    <row r="351" spans="32:32">
      <c r="AF351" s="12"/>
    </row>
    <row r="352" spans="32:32">
      <c r="AF352" s="12"/>
    </row>
    <row r="353" spans="32:32">
      <c r="AF353" s="12"/>
    </row>
    <row r="354" spans="32:32">
      <c r="AF354" s="12"/>
    </row>
    <row r="355" spans="32:32">
      <c r="AF355" s="12"/>
    </row>
    <row r="356" spans="32:32">
      <c r="AF356" s="12"/>
    </row>
    <row r="357" spans="32:32">
      <c r="AF357" s="12"/>
    </row>
    <row r="358" spans="32:32">
      <c r="AF358" s="12"/>
    </row>
    <row r="359" spans="32:32">
      <c r="AF359" s="12"/>
    </row>
    <row r="360" spans="32:32">
      <c r="AF360" s="12"/>
    </row>
    <row r="361" spans="32:32">
      <c r="AF361" s="12"/>
    </row>
    <row r="362" spans="32:32">
      <c r="AF362" s="12"/>
    </row>
    <row r="363" spans="32:32">
      <c r="AF363" s="12"/>
    </row>
    <row r="364" spans="32:32">
      <c r="AF364" s="12"/>
    </row>
    <row r="365" spans="32:32">
      <c r="AF365" s="12"/>
    </row>
    <row r="366" spans="32:32">
      <c r="AF366" s="12"/>
    </row>
    <row r="367" spans="32:32">
      <c r="AF367" s="12"/>
    </row>
    <row r="368" spans="32:32">
      <c r="AF368" s="12"/>
    </row>
    <row r="369" spans="32:32">
      <c r="AF369" s="12"/>
    </row>
    <row r="370" spans="32:32">
      <c r="AF370" s="12"/>
    </row>
    <row r="371" spans="32:32">
      <c r="AF371" s="12"/>
    </row>
    <row r="372" spans="32:32">
      <c r="AF372" s="12"/>
    </row>
    <row r="373" spans="32:32">
      <c r="AF373" s="12"/>
    </row>
    <row r="374" spans="32:32">
      <c r="AF374" s="12"/>
    </row>
    <row r="375" spans="32:32">
      <c r="AF375" s="12"/>
    </row>
    <row r="376" spans="32:32">
      <c r="AF376" s="12"/>
    </row>
    <row r="377" spans="32:32">
      <c r="AF377" s="12"/>
    </row>
    <row r="378" spans="32:32">
      <c r="AF378" s="12"/>
    </row>
    <row r="379" spans="32:32">
      <c r="AF379" s="12"/>
    </row>
    <row r="380" spans="32:32">
      <c r="AF380" s="12"/>
    </row>
    <row r="381" spans="32:32">
      <c r="AF381" s="12"/>
    </row>
    <row r="382" spans="32:32">
      <c r="AF382" s="12"/>
    </row>
    <row r="383" spans="32:32">
      <c r="AF383" s="12"/>
    </row>
    <row r="384" spans="32:32">
      <c r="AF384" s="12"/>
    </row>
    <row r="385" spans="32:32">
      <c r="AF385" s="12"/>
    </row>
    <row r="386" spans="32:32">
      <c r="AF386" s="12"/>
    </row>
    <row r="387" spans="32:32">
      <c r="AF387" s="12"/>
    </row>
    <row r="388" spans="32:32">
      <c r="AF388" s="12"/>
    </row>
    <row r="389" spans="32:32">
      <c r="AF389" s="12"/>
    </row>
    <row r="390" spans="32:32">
      <c r="AF390" s="12"/>
    </row>
    <row r="391" spans="32:32">
      <c r="AF391" s="12"/>
    </row>
    <row r="392" spans="32:32">
      <c r="AF392" s="12"/>
    </row>
    <row r="393" spans="32:32">
      <c r="AF393" s="12"/>
    </row>
    <row r="394" spans="32:32">
      <c r="AF394" s="12"/>
    </row>
    <row r="395" spans="32:32">
      <c r="AF395" s="12"/>
    </row>
    <row r="396" spans="32:32">
      <c r="AF396" s="12"/>
    </row>
    <row r="397" spans="32:32">
      <c r="AF397" s="12"/>
    </row>
    <row r="398" spans="32:32">
      <c r="AF398" s="12"/>
    </row>
    <row r="399" spans="32:32">
      <c r="AF399" s="12"/>
    </row>
    <row r="400" spans="32:32">
      <c r="AF400" s="12"/>
    </row>
    <row r="401" spans="32:32">
      <c r="AF401" s="12"/>
    </row>
    <row r="402" spans="32:32">
      <c r="AF402" s="12"/>
    </row>
    <row r="403" spans="32:32">
      <c r="AF403" s="12"/>
    </row>
    <row r="404" spans="32:32">
      <c r="AF404" s="12"/>
    </row>
    <row r="405" spans="32:32">
      <c r="AF405" s="12"/>
    </row>
    <row r="406" spans="32:32">
      <c r="AF406" s="12"/>
    </row>
    <row r="407" spans="32:32">
      <c r="AF407" s="12"/>
    </row>
    <row r="408" spans="32:32">
      <c r="AF408" s="12"/>
    </row>
    <row r="409" spans="32:32">
      <c r="AF409" s="12"/>
    </row>
    <row r="410" spans="32:32">
      <c r="AF410" s="12"/>
    </row>
    <row r="411" spans="32:32">
      <c r="AF411" s="12"/>
    </row>
    <row r="412" spans="32:32">
      <c r="AF412" s="12"/>
    </row>
    <row r="413" spans="32:32">
      <c r="AF413" s="12"/>
    </row>
    <row r="414" spans="32:32">
      <c r="AF414" s="12"/>
    </row>
    <row r="415" spans="32:32">
      <c r="AF415" s="12"/>
    </row>
    <row r="416" spans="32:32">
      <c r="AF416" s="12"/>
    </row>
    <row r="417" spans="32:32">
      <c r="AF417" s="12"/>
    </row>
    <row r="418" spans="32:32">
      <c r="AF418" s="12"/>
    </row>
    <row r="419" spans="32:32">
      <c r="AF419" s="12"/>
    </row>
    <row r="420" spans="32:32">
      <c r="AF420" s="12"/>
    </row>
    <row r="421" spans="32:32">
      <c r="AF421" s="12"/>
    </row>
    <row r="422" spans="32:32">
      <c r="AF422" s="12"/>
    </row>
    <row r="423" spans="32:32">
      <c r="AF423" s="12"/>
    </row>
    <row r="424" spans="32:32">
      <c r="AF424" s="12"/>
    </row>
    <row r="425" spans="32:32">
      <c r="AF425" s="12"/>
    </row>
    <row r="426" spans="32:32">
      <c r="AF426" s="12"/>
    </row>
    <row r="427" spans="32:32">
      <c r="AF427" s="12"/>
    </row>
    <row r="428" spans="32:32">
      <c r="AF428" s="12"/>
    </row>
    <row r="429" spans="32:32">
      <c r="AF429" s="12"/>
    </row>
    <row r="430" spans="32:32">
      <c r="AF430" s="12"/>
    </row>
    <row r="431" spans="32:32">
      <c r="AF431" s="12"/>
    </row>
    <row r="432" spans="32:32">
      <c r="AF432" s="12"/>
    </row>
    <row r="433" spans="32:32">
      <c r="AF433" s="12"/>
    </row>
    <row r="434" spans="32:32">
      <c r="AF434" s="12"/>
    </row>
    <row r="435" spans="32:32">
      <c r="AF435" s="12"/>
    </row>
    <row r="436" spans="32:32">
      <c r="AF436" s="12"/>
    </row>
    <row r="437" spans="32:32">
      <c r="AF437" s="12"/>
    </row>
    <row r="438" spans="32:32">
      <c r="AF438" s="12"/>
    </row>
    <row r="439" spans="32:32">
      <c r="AF439" s="12"/>
    </row>
    <row r="440" spans="32:32">
      <c r="AF440" s="12"/>
    </row>
    <row r="441" spans="32:32">
      <c r="AF441" s="12"/>
    </row>
    <row r="442" spans="32:32">
      <c r="AF442" s="12"/>
    </row>
    <row r="443" spans="32:32">
      <c r="AF443" s="12"/>
    </row>
    <row r="444" spans="32:32">
      <c r="AF444" s="12"/>
    </row>
    <row r="445" spans="32:32">
      <c r="AF445" s="12"/>
    </row>
    <row r="446" spans="32:32">
      <c r="AF446" s="12"/>
    </row>
    <row r="447" spans="32:32">
      <c r="AF447" s="12"/>
    </row>
    <row r="448" spans="32:32">
      <c r="AF448" s="12"/>
    </row>
    <row r="449" spans="32:32">
      <c r="AF449" s="12"/>
    </row>
    <row r="450" spans="32:32">
      <c r="AF450" s="12"/>
    </row>
    <row r="451" spans="32:32">
      <c r="AF451" s="12"/>
    </row>
    <row r="452" spans="32:32">
      <c r="AF452" s="12"/>
    </row>
    <row r="453" spans="32:32">
      <c r="AF453" s="12"/>
    </row>
    <row r="454" spans="32:32">
      <c r="AF454" s="12"/>
    </row>
    <row r="455" spans="32:32">
      <c r="AF455" s="12"/>
    </row>
    <row r="456" spans="32:32">
      <c r="AF456" s="12"/>
    </row>
    <row r="457" spans="32:32">
      <c r="AF457" s="12"/>
    </row>
    <row r="458" spans="32:32">
      <c r="AF458" s="12"/>
    </row>
    <row r="459" spans="32:32">
      <c r="AF459" s="12"/>
    </row>
    <row r="460" spans="32:32">
      <c r="AF460" s="12"/>
    </row>
    <row r="461" spans="32:32">
      <c r="AF461" s="12"/>
    </row>
    <row r="462" spans="32:32">
      <c r="AF462" s="12"/>
    </row>
    <row r="463" spans="32:32">
      <c r="AF463" s="12"/>
    </row>
    <row r="464" spans="32:32">
      <c r="AF464" s="12"/>
    </row>
    <row r="465" spans="32:32">
      <c r="AF465" s="12"/>
    </row>
    <row r="466" spans="32:32">
      <c r="AF466" s="12"/>
    </row>
    <row r="467" spans="32:32">
      <c r="AF467" s="12"/>
    </row>
    <row r="468" spans="32:32">
      <c r="AF468" s="12"/>
    </row>
    <row r="469" spans="32:32">
      <c r="AF469" s="12"/>
    </row>
    <row r="470" spans="32:32">
      <c r="AF470" s="12"/>
    </row>
    <row r="471" spans="32:32">
      <c r="AF471" s="12"/>
    </row>
    <row r="472" spans="32:32">
      <c r="AF472" s="12"/>
    </row>
    <row r="473" spans="32:32">
      <c r="AF473" s="12"/>
    </row>
    <row r="474" spans="32:32">
      <c r="AF474" s="12"/>
    </row>
    <row r="475" spans="32:32">
      <c r="AF475" s="12"/>
    </row>
    <row r="476" spans="32:32">
      <c r="AF476" s="12"/>
    </row>
    <row r="477" spans="32:32">
      <c r="AF477" s="12"/>
    </row>
    <row r="478" spans="32:32">
      <c r="AF478" s="12"/>
    </row>
    <row r="479" spans="32:32">
      <c r="AF479" s="12"/>
    </row>
    <row r="480" spans="32:32">
      <c r="AF480" s="12"/>
    </row>
    <row r="481" spans="32:32">
      <c r="AF481" s="12"/>
    </row>
    <row r="482" spans="32:32">
      <c r="AF482" s="12"/>
    </row>
    <row r="483" spans="32:32">
      <c r="AF483" s="12"/>
    </row>
    <row r="484" spans="32:32">
      <c r="AF484" s="12"/>
    </row>
    <row r="485" spans="32:32">
      <c r="AF485" s="12"/>
    </row>
    <row r="486" spans="32:32">
      <c r="AF486" s="12"/>
    </row>
    <row r="487" spans="32:32">
      <c r="AF487" s="12"/>
    </row>
    <row r="488" spans="32:32">
      <c r="AF488" s="12"/>
    </row>
    <row r="489" spans="32:32">
      <c r="AF489" s="12"/>
    </row>
    <row r="490" spans="32:32">
      <c r="AF490" s="12"/>
    </row>
    <row r="491" spans="32:32">
      <c r="AF491" s="12"/>
    </row>
    <row r="492" spans="32:32">
      <c r="AF492" s="12"/>
    </row>
    <row r="493" spans="32:32">
      <c r="AF493" s="12"/>
    </row>
    <row r="494" spans="32:32">
      <c r="AF494" s="12"/>
    </row>
    <row r="495" spans="32:32">
      <c r="AF495" s="12"/>
    </row>
    <row r="496" spans="32:32">
      <c r="AF496" s="12"/>
    </row>
    <row r="497" spans="32:32">
      <c r="AF497" s="12"/>
    </row>
    <row r="498" spans="32:32">
      <c r="AF498" s="12"/>
    </row>
    <row r="499" spans="32:32">
      <c r="AF499" s="12"/>
    </row>
    <row r="500" spans="32:32">
      <c r="AF500" s="12"/>
    </row>
    <row r="501" spans="32:32">
      <c r="AF501" s="12"/>
    </row>
    <row r="502" spans="32:32">
      <c r="AF502" s="12"/>
    </row>
    <row r="503" spans="32:32">
      <c r="AF503" s="12"/>
    </row>
    <row r="504" spans="32:32">
      <c r="AF504" s="12"/>
    </row>
    <row r="505" spans="32:32">
      <c r="AF505" s="12"/>
    </row>
    <row r="506" spans="32:32">
      <c r="AF506" s="12"/>
    </row>
    <row r="507" spans="32:32">
      <c r="AF507" s="12"/>
    </row>
    <row r="508" spans="32:32">
      <c r="AF508" s="12"/>
    </row>
    <row r="509" spans="32:32">
      <c r="AF509" s="12"/>
    </row>
  </sheetData>
  <sheetProtection password="9F5D" sheet="1" objects="1" scenarios="1" selectLockedCells="1" autoFilter="0"/>
  <autoFilter ref="AI17:AI253"/>
  <mergeCells count="20">
    <mergeCell ref="K215:T215"/>
    <mergeCell ref="E14:T15"/>
    <mergeCell ref="P1:T5"/>
    <mergeCell ref="L241:R241"/>
    <mergeCell ref="L242:R242"/>
    <mergeCell ref="L239:R239"/>
    <mergeCell ref="L238:R238"/>
    <mergeCell ref="H214:I214"/>
    <mergeCell ref="H215:I215"/>
    <mergeCell ref="H213:I213"/>
    <mergeCell ref="H216:I216"/>
    <mergeCell ref="K214:T214"/>
    <mergeCell ref="K216:T216"/>
    <mergeCell ref="L247:R247"/>
    <mergeCell ref="V240:X240"/>
    <mergeCell ref="L246:R246"/>
    <mergeCell ref="L243:R243"/>
    <mergeCell ref="L240:R240"/>
    <mergeCell ref="L244:R244"/>
    <mergeCell ref="L245:R245"/>
  </mergeCells>
  <phoneticPr fontId="0" type="noConversion"/>
  <pageMargins left="0.31496062992125984" right="0.23622047244094491" top="0.5" bottom="0.44" header="0.39370078740157483" footer="0.31496062992125984"/>
  <pageSetup paperSize="9" scale="79"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S248"/>
  <sheetViews>
    <sheetView topLeftCell="A201" workbookViewId="0">
      <selection activeCell="F230" sqref="F230"/>
    </sheetView>
  </sheetViews>
  <sheetFormatPr defaultRowHeight="12.75"/>
  <cols>
    <col min="1" max="1" width="3.42578125" customWidth="1"/>
    <col min="2" max="2" width="24.5703125" customWidth="1"/>
    <col min="3" max="4" width="9.140625" style="5"/>
    <col min="5" max="5" width="10.7109375" bestFit="1" customWidth="1"/>
    <col min="11" max="11" width="10.7109375" bestFit="1" customWidth="1"/>
    <col min="16" max="16" width="10.7109375" bestFit="1" customWidth="1"/>
  </cols>
  <sheetData>
    <row r="1" spans="1:16">
      <c r="O1" s="504" t="s">
        <v>627</v>
      </c>
      <c r="P1" s="504" t="s">
        <v>628</v>
      </c>
    </row>
    <row r="2" spans="1:16">
      <c r="O2" s="504"/>
      <c r="P2" s="505"/>
    </row>
    <row r="3" spans="1:16">
      <c r="O3" s="504"/>
      <c r="P3" s="505"/>
    </row>
    <row r="4" spans="1:16">
      <c r="A4" s="32">
        <v>1</v>
      </c>
      <c r="B4" s="32" t="s">
        <v>8</v>
      </c>
      <c r="C4" s="33" t="s">
        <v>229</v>
      </c>
      <c r="D4" s="68" t="s">
        <v>228</v>
      </c>
      <c r="E4" s="68" t="s">
        <v>227</v>
      </c>
      <c r="F4" s="68" t="s">
        <v>298</v>
      </c>
      <c r="G4" s="68" t="s">
        <v>299</v>
      </c>
      <c r="H4" s="68" t="s">
        <v>300</v>
      </c>
      <c r="I4" s="68" t="s">
        <v>301</v>
      </c>
      <c r="J4" s="68" t="s">
        <v>170</v>
      </c>
      <c r="K4" s="68" t="s">
        <v>171</v>
      </c>
      <c r="L4" s="68" t="s">
        <v>172</v>
      </c>
      <c r="M4" s="68" t="s">
        <v>302</v>
      </c>
      <c r="N4" s="68" t="s">
        <v>185</v>
      </c>
      <c r="O4" s="504"/>
      <c r="P4" s="505"/>
    </row>
    <row r="5" spans="1:16">
      <c r="A5" s="10"/>
      <c r="B5" s="11" t="s">
        <v>9</v>
      </c>
      <c r="C5" s="5" t="str">
        <f>IF('Besluit bodemkwaliteit'!H28="X",1,IF('Besluit bodemkwaliteit'!H28="2x",10,""))</f>
        <v/>
      </c>
      <c r="D5" s="5" t="str">
        <f>IF('Besluit bodemkwaliteit'!I28="X",1,IF('Besluit bodemkwaliteit'!I28="@",10,""))</f>
        <v/>
      </c>
      <c r="E5" s="5" t="str">
        <f>IF('Besluit bodemkwaliteit'!J28="X",1,"")</f>
        <v/>
      </c>
      <c r="F5" s="5" t="str">
        <f>IF('Besluit bodemkwaliteit'!K28="X",1,"")</f>
        <v/>
      </c>
      <c r="G5" s="5" t="str">
        <f>IF('Besluit bodemkwaliteit'!L28="X",1,"")</f>
        <v/>
      </c>
      <c r="H5" s="5">
        <f>IF('Besluit bodemkwaliteit'!M28="X",1,0)</f>
        <v>0</v>
      </c>
      <c r="I5" s="5" t="str">
        <f>IF('Besluit bodemkwaliteit'!N28="X",1,"")</f>
        <v/>
      </c>
      <c r="J5" s="5" t="str">
        <f>IF('Besluit bodemkwaliteit'!O28="X",1,"")</f>
        <v/>
      </c>
      <c r="K5" s="5" t="str">
        <f>IF('Besluit bodemkwaliteit'!P28="X",1,"")</f>
        <v/>
      </c>
      <c r="L5" s="5" t="str">
        <f>IF('Besluit bodemkwaliteit'!Q28="X",1,"")</f>
        <v/>
      </c>
      <c r="M5" s="5" t="str">
        <f>IF('Besluit bodemkwaliteit'!R28="X",1,"")</f>
        <v/>
      </c>
      <c r="N5" s="5" t="str">
        <f>IF('Besluit bodemkwaliteit'!S28="X",1,"")</f>
        <v/>
      </c>
    </row>
    <row r="6" spans="1:16">
      <c r="A6" s="10"/>
      <c r="B6" s="11" t="s">
        <v>10</v>
      </c>
      <c r="C6" s="5" t="str">
        <f>IF('Besluit bodemkwaliteit'!H29="X",1,IF('Besluit bodemkwaliteit'!H29="2x",10,""))</f>
        <v/>
      </c>
      <c r="D6" s="5" t="str">
        <f>IF('Besluit bodemkwaliteit'!I29="X",1,IF('Besluit bodemkwaliteit'!I29="@",10,""))</f>
        <v/>
      </c>
      <c r="E6" s="5" t="str">
        <f>IF('Besluit bodemkwaliteit'!J29="X",1,"")</f>
        <v/>
      </c>
      <c r="F6" s="5" t="str">
        <f>IF('Besluit bodemkwaliteit'!K29="X",1,"")</f>
        <v/>
      </c>
      <c r="G6" s="5" t="str">
        <f>IF('Besluit bodemkwaliteit'!L29="X",1,"")</f>
        <v/>
      </c>
      <c r="H6" s="5">
        <f>IF('Besluit bodemkwaliteit'!M29="X",1,0)</f>
        <v>0</v>
      </c>
      <c r="I6" s="5" t="str">
        <f>IF('Besluit bodemkwaliteit'!N29="X",1,"")</f>
        <v/>
      </c>
      <c r="J6" s="5" t="str">
        <f>IF('Besluit bodemkwaliteit'!O29="X",1,"")</f>
        <v/>
      </c>
      <c r="K6" s="5" t="str">
        <f>IF('Besluit bodemkwaliteit'!P29="X",1,"")</f>
        <v/>
      </c>
      <c r="L6" s="5" t="str">
        <f>IF('Besluit bodemkwaliteit'!Q29="X",1,"")</f>
        <v/>
      </c>
      <c r="M6" s="5" t="str">
        <f>IF('Besluit bodemkwaliteit'!R29="X",1,"")</f>
        <v/>
      </c>
      <c r="N6" s="5" t="str">
        <f>IF('Besluit bodemkwaliteit'!S29="X",1,"")</f>
        <v/>
      </c>
    </row>
    <row r="7" spans="1:16">
      <c r="A7" s="10"/>
      <c r="B7" s="11" t="str">
        <f>'Besluit bodemkwaliteit'!B30</f>
        <v>barium (Ba) [*]</v>
      </c>
      <c r="C7" s="5" t="str">
        <f>IF('Besluit bodemkwaliteit'!H30="X",1,IF('Besluit bodemkwaliteit'!H30="2x",10,""))</f>
        <v/>
      </c>
      <c r="D7" s="5" t="str">
        <f>IF('Besluit bodemkwaliteit'!I30="X",1,IF('Besluit bodemkwaliteit'!I30="@",10,""))</f>
        <v/>
      </c>
      <c r="E7" s="5" t="str">
        <f>IF('Besluit bodemkwaliteit'!J30="X",1,"")</f>
        <v/>
      </c>
      <c r="F7" s="5" t="str">
        <f>IF('Besluit bodemkwaliteit'!K30="X",1,"")</f>
        <v/>
      </c>
      <c r="G7" s="5" t="str">
        <f>IF('Besluit bodemkwaliteit'!L30="X",1,"")</f>
        <v/>
      </c>
      <c r="H7" s="5">
        <f>IF('Besluit bodemkwaliteit'!M30="X",1,0)</f>
        <v>0</v>
      </c>
      <c r="I7" s="5" t="str">
        <f>IF('Besluit bodemkwaliteit'!N30="X",1,"")</f>
        <v/>
      </c>
      <c r="J7" s="5" t="str">
        <f>IF('Besluit bodemkwaliteit'!O30="X",1,"")</f>
        <v/>
      </c>
      <c r="K7" s="5" t="str">
        <f>IF('Besluit bodemkwaliteit'!P30="X",1,"")</f>
        <v/>
      </c>
      <c r="L7" s="5" t="str">
        <f>IF('Besluit bodemkwaliteit'!Q30="X",1,"")</f>
        <v/>
      </c>
      <c r="M7" s="5" t="str">
        <f>IF('Besluit bodemkwaliteit'!R30="X",1,"")</f>
        <v/>
      </c>
      <c r="N7" s="5" t="str">
        <f>IF('Besluit bodemkwaliteit'!S30="X",1,"")</f>
        <v/>
      </c>
    </row>
    <row r="8" spans="1:16">
      <c r="A8" s="10"/>
      <c r="B8" s="11" t="s">
        <v>12</v>
      </c>
      <c r="C8" s="5" t="str">
        <f>IF('Besluit bodemkwaliteit'!H31="X",1,IF('Besluit bodemkwaliteit'!H31="2x",10,""))</f>
        <v/>
      </c>
      <c r="D8" s="5" t="str">
        <f>IF('Besluit bodemkwaliteit'!I31="X",1,IF('Besluit bodemkwaliteit'!I31="@",10,""))</f>
        <v/>
      </c>
      <c r="E8" s="5" t="str">
        <f>IF('Besluit bodemkwaliteit'!J31="X",1,"")</f>
        <v/>
      </c>
      <c r="F8" s="5" t="str">
        <f>IF('Besluit bodemkwaliteit'!K31="X",1,"")</f>
        <v/>
      </c>
      <c r="G8" s="5" t="str">
        <f>IF('Besluit bodemkwaliteit'!L31="X",1,"")</f>
        <v/>
      </c>
      <c r="H8" s="5">
        <f>IF('Besluit bodemkwaliteit'!M31="X",1,0)</f>
        <v>0</v>
      </c>
      <c r="I8" s="5" t="str">
        <f>IF('Besluit bodemkwaliteit'!N31="X",1,"")</f>
        <v/>
      </c>
      <c r="J8" s="5" t="str">
        <f>IF('Besluit bodemkwaliteit'!O31="X",1,"")</f>
        <v/>
      </c>
      <c r="K8" s="5" t="str">
        <f>IF('Besluit bodemkwaliteit'!P31="X",1,"")</f>
        <v/>
      </c>
      <c r="L8" s="5" t="str">
        <f>IF('Besluit bodemkwaliteit'!Q31="X",1,"")</f>
        <v/>
      </c>
      <c r="M8" s="5" t="str">
        <f>IF('Besluit bodemkwaliteit'!R31="X",1,"")</f>
        <v/>
      </c>
      <c r="N8" s="5" t="str">
        <f>IF('Besluit bodemkwaliteit'!S31="X",1,"")</f>
        <v/>
      </c>
    </row>
    <row r="9" spans="1:16">
      <c r="A9" s="10"/>
      <c r="B9" s="11" t="s">
        <v>163</v>
      </c>
      <c r="C9" s="5" t="str">
        <f>IF('Besluit bodemkwaliteit'!H32="X",1,IF('Besluit bodemkwaliteit'!H32="2x",10,""))</f>
        <v/>
      </c>
      <c r="D9" s="5" t="str">
        <f>IF('Besluit bodemkwaliteit'!I32="X",1,IF('Besluit bodemkwaliteit'!I32="@",10,""))</f>
        <v/>
      </c>
      <c r="E9" s="5" t="str">
        <f>IF('Besluit bodemkwaliteit'!J32="X",1,"")</f>
        <v/>
      </c>
      <c r="F9" s="5" t="str">
        <f>IF('Besluit bodemkwaliteit'!K32="X",1,"")</f>
        <v/>
      </c>
      <c r="G9" s="5" t="str">
        <f>IF('Besluit bodemkwaliteit'!L32="X",1,"")</f>
        <v/>
      </c>
      <c r="H9" s="5">
        <f>IF('Besluit bodemkwaliteit'!M32="X",1,0)</f>
        <v>0</v>
      </c>
      <c r="I9" s="5" t="str">
        <f>IF('Besluit bodemkwaliteit'!N32="X",1,"")</f>
        <v/>
      </c>
      <c r="J9" s="5" t="str">
        <f>IF('Besluit bodemkwaliteit'!O32="X",1,"")</f>
        <v/>
      </c>
      <c r="K9" s="5" t="str">
        <f>IF('Besluit bodemkwaliteit'!P32="X",1,"")</f>
        <v/>
      </c>
      <c r="L9" s="5" t="str">
        <f>IF('Besluit bodemkwaliteit'!Q32="X",1,"")</f>
        <v/>
      </c>
      <c r="M9" s="5" t="str">
        <f>IF('Besluit bodemkwaliteit'!R32="X",1,"")</f>
        <v/>
      </c>
      <c r="N9" s="5" t="str">
        <f>IF('Besluit bodemkwaliteit'!S32="X",1,"")</f>
        <v/>
      </c>
    </row>
    <row r="10" spans="1:16">
      <c r="A10" s="10"/>
      <c r="B10" s="11" t="s">
        <v>13</v>
      </c>
      <c r="C10" s="5" t="str">
        <f>IF('Besluit bodemkwaliteit'!H33="X",1,IF('Besluit bodemkwaliteit'!H33="2x",10,""))</f>
        <v/>
      </c>
      <c r="D10" s="5" t="str">
        <f>IF('Besluit bodemkwaliteit'!I33="X",1,IF('Besluit bodemkwaliteit'!I33="@",10,""))</f>
        <v/>
      </c>
      <c r="E10" s="5" t="str">
        <f>IF('Besluit bodemkwaliteit'!J33="X",1,"")</f>
        <v/>
      </c>
      <c r="F10" s="5" t="str">
        <f>IF('Besluit bodemkwaliteit'!K33="X",1,"")</f>
        <v/>
      </c>
      <c r="G10" s="5" t="str">
        <f>IF('Besluit bodemkwaliteit'!L33="X",1,"")</f>
        <v/>
      </c>
      <c r="H10" s="5">
        <f>IF('Besluit bodemkwaliteit'!M33="X",1,0)</f>
        <v>0</v>
      </c>
      <c r="I10" s="5" t="str">
        <f>IF('Besluit bodemkwaliteit'!N33="X",1,"")</f>
        <v/>
      </c>
      <c r="J10" s="5" t="str">
        <f>IF('Besluit bodemkwaliteit'!O33="X",1,"")</f>
        <v/>
      </c>
      <c r="K10" s="5" t="str">
        <f>IF('Besluit bodemkwaliteit'!P33="X",1,"")</f>
        <v/>
      </c>
      <c r="L10" s="5" t="str">
        <f>IF('Besluit bodemkwaliteit'!Q33="X",1,"")</f>
        <v/>
      </c>
      <c r="M10" s="5" t="str">
        <f>IF('Besluit bodemkwaliteit'!R33="X",1,"")</f>
        <v/>
      </c>
      <c r="N10" s="5" t="str">
        <f>IF('Besluit bodemkwaliteit'!S33="X",1,"")</f>
        <v/>
      </c>
    </row>
    <row r="11" spans="1:16">
      <c r="A11" s="10"/>
      <c r="B11" s="11" t="s">
        <v>14</v>
      </c>
      <c r="C11" s="5" t="str">
        <f>IF('Besluit bodemkwaliteit'!H34="X",1,IF('Besluit bodemkwaliteit'!H34="2x",10,""))</f>
        <v/>
      </c>
      <c r="D11" s="5" t="str">
        <f>IF('Besluit bodemkwaliteit'!I34="X",1,IF('Besluit bodemkwaliteit'!I34="@",10,""))</f>
        <v/>
      </c>
      <c r="E11" s="5" t="str">
        <f>IF('Besluit bodemkwaliteit'!J34="X",1,"")</f>
        <v/>
      </c>
      <c r="F11" s="5" t="str">
        <f>IF('Besluit bodemkwaliteit'!K34="X",1,"")</f>
        <v/>
      </c>
      <c r="G11" s="5" t="str">
        <f>IF('Besluit bodemkwaliteit'!L34="X",1,"")</f>
        <v/>
      </c>
      <c r="H11" s="5">
        <f>IF('Besluit bodemkwaliteit'!M34="X",1,0)</f>
        <v>0</v>
      </c>
      <c r="I11" s="5" t="str">
        <f>IF('Besluit bodemkwaliteit'!N34="X",1,"")</f>
        <v/>
      </c>
      <c r="J11" s="5" t="str">
        <f>IF('Besluit bodemkwaliteit'!O34="X",1,"")</f>
        <v/>
      </c>
      <c r="K11" s="5" t="str">
        <f>IF('Besluit bodemkwaliteit'!P34="X",1,"")</f>
        <v/>
      </c>
      <c r="L11" s="5" t="str">
        <f>IF('Besluit bodemkwaliteit'!Q34="X",1,"")</f>
        <v/>
      </c>
      <c r="M11" s="5" t="str">
        <f>IF('Besluit bodemkwaliteit'!R34="X",1,"")</f>
        <v/>
      </c>
      <c r="N11" s="5" t="str">
        <f>IF('Besluit bodemkwaliteit'!S34="X",1,"")</f>
        <v/>
      </c>
    </row>
    <row r="12" spans="1:16">
      <c r="A12" s="10"/>
      <c r="B12" s="11" t="s">
        <v>15</v>
      </c>
      <c r="C12" s="5" t="str">
        <f>IF('Besluit bodemkwaliteit'!H35="X",1,IF('Besluit bodemkwaliteit'!H35="2x",10,""))</f>
        <v/>
      </c>
      <c r="D12" s="5" t="str">
        <f>IF('Besluit bodemkwaliteit'!I35="X",1,IF('Besluit bodemkwaliteit'!I35="@",10,""))</f>
        <v/>
      </c>
      <c r="E12" s="5" t="str">
        <f>IF('Besluit bodemkwaliteit'!J35="X",1,"")</f>
        <v/>
      </c>
      <c r="F12" s="5" t="str">
        <f>IF('Besluit bodemkwaliteit'!K35="X",1,"")</f>
        <v/>
      </c>
      <c r="G12" s="5" t="str">
        <f>IF('Besluit bodemkwaliteit'!L35="X",1,"")</f>
        <v/>
      </c>
      <c r="H12" s="5">
        <f>IF('Besluit bodemkwaliteit'!M35="X",1,0)</f>
        <v>0</v>
      </c>
      <c r="I12" s="5" t="str">
        <f>IF('Besluit bodemkwaliteit'!N35="X",1,"")</f>
        <v/>
      </c>
      <c r="J12" s="5" t="str">
        <f>IF('Besluit bodemkwaliteit'!O35="X",1,"")</f>
        <v/>
      </c>
      <c r="K12" s="5" t="str">
        <f>IF('Besluit bodemkwaliteit'!P35="X",1,"")</f>
        <v/>
      </c>
      <c r="L12" s="5" t="str">
        <f>IF('Besluit bodemkwaliteit'!Q35="X",1,"")</f>
        <v/>
      </c>
      <c r="M12" s="5" t="str">
        <f>IF('Besluit bodemkwaliteit'!R35="X",1,"")</f>
        <v/>
      </c>
      <c r="N12" s="5" t="str">
        <f>IF('Besluit bodemkwaliteit'!S35="X",1,"")</f>
        <v/>
      </c>
    </row>
    <row r="13" spans="1:16">
      <c r="A13" s="10"/>
      <c r="B13" s="11" t="s">
        <v>16</v>
      </c>
      <c r="C13" s="5" t="str">
        <f>IF('Besluit bodemkwaliteit'!H36="X",1,IF('Besluit bodemkwaliteit'!H36="2x",10,""))</f>
        <v/>
      </c>
      <c r="D13" s="5" t="str">
        <f>IF('Besluit bodemkwaliteit'!I36="X",1,IF('Besluit bodemkwaliteit'!I36="@",10,""))</f>
        <v/>
      </c>
      <c r="E13" s="5" t="str">
        <f>IF('Besluit bodemkwaliteit'!J36="X",1,"")</f>
        <v/>
      </c>
      <c r="F13" s="5" t="str">
        <f>IF('Besluit bodemkwaliteit'!K36="X",1,"")</f>
        <v/>
      </c>
      <c r="G13" s="5" t="str">
        <f>IF('Besluit bodemkwaliteit'!L36="X",1,"")</f>
        <v/>
      </c>
      <c r="H13" s="5">
        <f>IF('Besluit bodemkwaliteit'!M36="X",1,0)</f>
        <v>0</v>
      </c>
      <c r="I13" s="5" t="str">
        <f>IF('Besluit bodemkwaliteit'!N36="X",1,"")</f>
        <v/>
      </c>
      <c r="J13" s="5" t="str">
        <f>IF('Besluit bodemkwaliteit'!O36="X",1,"")</f>
        <v/>
      </c>
      <c r="K13" s="5" t="str">
        <f>IF('Besluit bodemkwaliteit'!P36="X",1,"")</f>
        <v/>
      </c>
      <c r="L13" s="5" t="str">
        <f>IF('Besluit bodemkwaliteit'!Q36="X",1,"")</f>
        <v/>
      </c>
      <c r="M13" s="5" t="str">
        <f>IF('Besluit bodemkwaliteit'!R36="X",1,"")</f>
        <v/>
      </c>
      <c r="N13" s="5" t="str">
        <f>IF('Besluit bodemkwaliteit'!S36="X",1,"")</f>
        <v/>
      </c>
    </row>
    <row r="14" spans="1:16">
      <c r="A14" s="10"/>
      <c r="B14" s="11" t="s">
        <v>17</v>
      </c>
      <c r="C14" s="5" t="str">
        <f>IF('Besluit bodemkwaliteit'!H37="X",1,IF('Besluit bodemkwaliteit'!H37="2x",10,""))</f>
        <v/>
      </c>
      <c r="D14" s="5" t="str">
        <f>IF('Besluit bodemkwaliteit'!I37="X",1,IF('Besluit bodemkwaliteit'!I37="@",10,""))</f>
        <v/>
      </c>
      <c r="E14" s="5" t="str">
        <f>IF('Besluit bodemkwaliteit'!J37="X",1,"")</f>
        <v/>
      </c>
      <c r="F14" s="5" t="str">
        <f>IF('Besluit bodemkwaliteit'!K37="X",1,"")</f>
        <v/>
      </c>
      <c r="G14" s="5" t="str">
        <f>IF('Besluit bodemkwaliteit'!L37="X",1,"")</f>
        <v/>
      </c>
      <c r="H14" s="5">
        <f>IF('Besluit bodemkwaliteit'!M37="X",1,0)</f>
        <v>0</v>
      </c>
      <c r="I14" s="5" t="str">
        <f>IF('Besluit bodemkwaliteit'!N37="X",1,"")</f>
        <v/>
      </c>
      <c r="J14" s="5" t="str">
        <f>IF('Besluit bodemkwaliteit'!O37="X",1,"")</f>
        <v/>
      </c>
      <c r="K14" s="5" t="str">
        <f>IF('Besluit bodemkwaliteit'!P37="X",1,"")</f>
        <v/>
      </c>
      <c r="L14" s="5" t="str">
        <f>IF('Besluit bodemkwaliteit'!Q37="X",1,"")</f>
        <v/>
      </c>
      <c r="M14" s="5" t="str">
        <f>IF('Besluit bodemkwaliteit'!R37="X",1,"")</f>
        <v/>
      </c>
      <c r="N14" s="5" t="str">
        <f>IF('Besluit bodemkwaliteit'!S37="X",1,"")</f>
        <v/>
      </c>
    </row>
    <row r="15" spans="1:16">
      <c r="A15" s="10"/>
      <c r="B15" s="11" t="s">
        <v>18</v>
      </c>
      <c r="C15" s="5" t="str">
        <f>IF('Besluit bodemkwaliteit'!H38="X",1,IF('Besluit bodemkwaliteit'!H38="2x",10,""))</f>
        <v/>
      </c>
      <c r="D15" s="5" t="str">
        <f>IF('Besluit bodemkwaliteit'!I38="X",1,IF('Besluit bodemkwaliteit'!I38="@",10,""))</f>
        <v/>
      </c>
      <c r="E15" s="5" t="str">
        <f>IF('Besluit bodemkwaliteit'!J38="X",1,"")</f>
        <v/>
      </c>
      <c r="F15" s="5" t="str">
        <f>IF('Besluit bodemkwaliteit'!K38="X",1,"")</f>
        <v/>
      </c>
      <c r="G15" s="5" t="str">
        <f>IF('Besluit bodemkwaliteit'!L38="X",1,"")</f>
        <v/>
      </c>
      <c r="H15" s="5">
        <f>IF('Besluit bodemkwaliteit'!M38="X",1,0)</f>
        <v>0</v>
      </c>
      <c r="I15" s="5" t="str">
        <f>IF('Besluit bodemkwaliteit'!N38="X",1,"")</f>
        <v/>
      </c>
      <c r="J15" s="5" t="str">
        <f>IF('Besluit bodemkwaliteit'!O38="X",1,"")</f>
        <v/>
      </c>
      <c r="K15" s="5" t="str">
        <f>IF('Besluit bodemkwaliteit'!P38="X",1,"")</f>
        <v/>
      </c>
      <c r="L15" s="5" t="str">
        <f>IF('Besluit bodemkwaliteit'!Q38="X",1,"")</f>
        <v/>
      </c>
      <c r="M15" s="5" t="str">
        <f>IF('Besluit bodemkwaliteit'!R38="X",1,"")</f>
        <v/>
      </c>
      <c r="N15" s="5" t="str">
        <f>IF('Besluit bodemkwaliteit'!S38="X",1,"")</f>
        <v/>
      </c>
      <c r="O15" s="4">
        <f>IF(D15="",0,IF('Besluit bodemkwaliteit'!G38&gt;70,1,0))</f>
        <v>0</v>
      </c>
      <c r="P15" s="4">
        <f>IF('Besluit bodemkwaliteit'!G38&gt;74,10,0)</f>
        <v>10</v>
      </c>
    </row>
    <row r="16" spans="1:16">
      <c r="A16" s="10"/>
      <c r="B16" s="11" t="s">
        <v>19</v>
      </c>
      <c r="C16" s="5" t="str">
        <f>IF('Besluit bodemkwaliteit'!H39="X",1,IF('Besluit bodemkwaliteit'!H39="2x",10,""))</f>
        <v/>
      </c>
      <c r="D16" s="5" t="str">
        <f>IF('Besluit bodemkwaliteit'!I39="X",1,IF('Besluit bodemkwaliteit'!I39="@",10,""))</f>
        <v/>
      </c>
      <c r="E16" s="5" t="str">
        <f>IF('Besluit bodemkwaliteit'!J39="X",1,"")</f>
        <v/>
      </c>
      <c r="F16" s="5" t="str">
        <f>IF('Besluit bodemkwaliteit'!K39="X",1,"")</f>
        <v/>
      </c>
      <c r="G16" s="5" t="str">
        <f>IF('Besluit bodemkwaliteit'!L39="X",1,"")</f>
        <v/>
      </c>
      <c r="H16" s="5">
        <f>IF('Besluit bodemkwaliteit'!M39="X",1,0)</f>
        <v>0</v>
      </c>
      <c r="I16" s="5" t="str">
        <f>IF('Besluit bodemkwaliteit'!N39="X",1,"")</f>
        <v/>
      </c>
      <c r="J16" s="5" t="str">
        <f>IF('Besluit bodemkwaliteit'!O39="X",1,"")</f>
        <v/>
      </c>
      <c r="K16" s="5" t="str">
        <f>IF('Besluit bodemkwaliteit'!P39="X",1,"")</f>
        <v/>
      </c>
      <c r="L16" s="5" t="str">
        <f>IF('Besluit bodemkwaliteit'!Q39="X",1,"")</f>
        <v/>
      </c>
      <c r="M16" s="5" t="str">
        <f>IF('Besluit bodemkwaliteit'!R39="X",1,"")</f>
        <v/>
      </c>
      <c r="N16" s="5" t="str">
        <f>IF('Besluit bodemkwaliteit'!S39="X",1,"")</f>
        <v/>
      </c>
    </row>
    <row r="17" spans="1:18">
      <c r="A17" s="10"/>
      <c r="B17" s="11" t="s">
        <v>20</v>
      </c>
      <c r="C17" s="5" t="str">
        <f>IF('Besluit bodemkwaliteit'!H40="X",1,IF('Besluit bodemkwaliteit'!H40="2x",10,""))</f>
        <v/>
      </c>
      <c r="D17" s="5" t="str">
        <f>IF('Besluit bodemkwaliteit'!I40="X",1,IF('Besluit bodemkwaliteit'!I40="@",10,""))</f>
        <v/>
      </c>
      <c r="E17" s="5" t="str">
        <f>IF('Besluit bodemkwaliteit'!J40="X",1,"")</f>
        <v/>
      </c>
      <c r="F17" s="5" t="str">
        <f>IF('Besluit bodemkwaliteit'!K40="X",1,"")</f>
        <v/>
      </c>
      <c r="G17" s="5" t="str">
        <f>IF('Besluit bodemkwaliteit'!L40="X",1,"")</f>
        <v/>
      </c>
      <c r="H17" s="5">
        <f>IF('Besluit bodemkwaliteit'!M40="X",1,0)</f>
        <v>0</v>
      </c>
      <c r="I17" s="5" t="str">
        <f>IF('Besluit bodemkwaliteit'!N40="X",1,"")</f>
        <v/>
      </c>
      <c r="J17" s="5" t="str">
        <f>IF('Besluit bodemkwaliteit'!O40="X",1,"")</f>
        <v/>
      </c>
      <c r="K17" s="5" t="str">
        <f>IF('Besluit bodemkwaliteit'!P40="X",1,"")</f>
        <v/>
      </c>
      <c r="L17" s="5" t="str">
        <f>IF('Besluit bodemkwaliteit'!Q40="X",1,"")</f>
        <v/>
      </c>
      <c r="M17" s="5" t="str">
        <f>IF('Besluit bodemkwaliteit'!R40="X",1,"")</f>
        <v/>
      </c>
      <c r="N17" s="5" t="str">
        <f>IF('Besluit bodemkwaliteit'!S40="X",1,"")</f>
        <v/>
      </c>
    </row>
    <row r="18" spans="1:18">
      <c r="A18" s="10"/>
      <c r="B18" s="11" t="s">
        <v>21</v>
      </c>
      <c r="C18" s="5" t="str">
        <f>IF('Besluit bodemkwaliteit'!H41="X",1,IF('Besluit bodemkwaliteit'!H41="2x",10,""))</f>
        <v/>
      </c>
      <c r="D18" s="5" t="str">
        <f>IF('Besluit bodemkwaliteit'!I41="X",1,IF('Besluit bodemkwaliteit'!I41="@",10,""))</f>
        <v/>
      </c>
      <c r="E18" s="5" t="str">
        <f>IF('Besluit bodemkwaliteit'!J41="X",1,"")</f>
        <v/>
      </c>
      <c r="F18" s="5" t="str">
        <f>IF('Besluit bodemkwaliteit'!K41="X",1,"")</f>
        <v/>
      </c>
      <c r="G18" s="5" t="str">
        <f>IF('Besluit bodemkwaliteit'!L41="X",1,"")</f>
        <v/>
      </c>
      <c r="H18" s="5">
        <f>IF('Besluit bodemkwaliteit'!M41="X",1,0)</f>
        <v>0</v>
      </c>
      <c r="I18" s="5" t="str">
        <f>IF('Besluit bodemkwaliteit'!N41="X",1,"")</f>
        <v/>
      </c>
      <c r="J18" s="5" t="str">
        <f>IF('Besluit bodemkwaliteit'!O41="X",1,"")</f>
        <v/>
      </c>
      <c r="K18" s="5" t="str">
        <f>IF('Besluit bodemkwaliteit'!P41="X",1,"")</f>
        <v/>
      </c>
      <c r="L18" s="5" t="str">
        <f>IF('Besluit bodemkwaliteit'!Q41="X",1,"")</f>
        <v/>
      </c>
      <c r="M18" s="5" t="str">
        <f>IF('Besluit bodemkwaliteit'!R41="X",1,"")</f>
        <v/>
      </c>
      <c r="N18" s="5" t="str">
        <f>IF('Besluit bodemkwaliteit'!S41="X",1,"")</f>
        <v/>
      </c>
    </row>
    <row r="19" spans="1:18">
      <c r="A19" s="10"/>
      <c r="B19" s="11"/>
    </row>
    <row r="20" spans="1:18">
      <c r="A20" s="10"/>
      <c r="B20" s="35" t="s">
        <v>168</v>
      </c>
    </row>
    <row r="21" spans="1:18">
      <c r="A21" s="10"/>
      <c r="B21" s="11" t="s">
        <v>9</v>
      </c>
      <c r="C21" s="5" t="str">
        <f>IF('Besluit bodemkwaliteit'!H44="X",1,IF('Besluit bodemkwaliteit'!H44="2x",10,""))</f>
        <v/>
      </c>
      <c r="D21" s="5" t="str">
        <f>IF('Besluit bodemkwaliteit'!I44="X",1,IF('Besluit bodemkwaliteit'!I44="@",10,""))</f>
        <v/>
      </c>
      <c r="H21" s="5">
        <f>IF('Besluit bodemkwaliteit'!M44="-",-1,IF('Besluit bodemkwaliteit'!M44="X",2,0))</f>
        <v>0</v>
      </c>
      <c r="R21">
        <f>H21+H5</f>
        <v>0</v>
      </c>
    </row>
    <row r="22" spans="1:18">
      <c r="A22" s="10"/>
      <c r="B22" s="11" t="s">
        <v>10</v>
      </c>
      <c r="C22" s="5" t="str">
        <f>IF('Besluit bodemkwaliteit'!H45="X",1,IF('Besluit bodemkwaliteit'!H45="2x",10,""))</f>
        <v/>
      </c>
      <c r="D22" s="5" t="str">
        <f>IF('Besluit bodemkwaliteit'!I45="X",1,IF('Besluit bodemkwaliteit'!I45="@",10,""))</f>
        <v/>
      </c>
      <c r="H22" s="5">
        <f>IF('Besluit bodemkwaliteit'!M45="-",-1,IF('Besluit bodemkwaliteit'!M45="X",2,0))</f>
        <v>0</v>
      </c>
      <c r="R22">
        <f t="shared" ref="R22:R34" si="0">H22+H6</f>
        <v>0</v>
      </c>
    </row>
    <row r="23" spans="1:18">
      <c r="A23" s="10"/>
      <c r="B23" s="11" t="s">
        <v>11</v>
      </c>
      <c r="C23" s="5" t="str">
        <f>IF('Besluit bodemkwaliteit'!H46="X",1,IF('Besluit bodemkwaliteit'!H46="2x",10,""))</f>
        <v/>
      </c>
      <c r="D23" s="5" t="str">
        <f>IF('Besluit bodemkwaliteit'!I46="X",1,IF('Besluit bodemkwaliteit'!I46="@",10,""))</f>
        <v/>
      </c>
      <c r="H23" s="5">
        <f>IF('Besluit bodemkwaliteit'!M46="-",-1,IF('Besluit bodemkwaliteit'!M46="X",2,0))</f>
        <v>0</v>
      </c>
      <c r="R23">
        <f t="shared" si="0"/>
        <v>0</v>
      </c>
    </row>
    <row r="24" spans="1:18">
      <c r="A24" s="10"/>
      <c r="B24" s="11" t="s">
        <v>12</v>
      </c>
      <c r="C24" s="5" t="str">
        <f>IF('Besluit bodemkwaliteit'!H47="X",1,IF('Besluit bodemkwaliteit'!H47="2x",10,""))</f>
        <v/>
      </c>
      <c r="D24" s="5" t="str">
        <f>IF('Besluit bodemkwaliteit'!I47="X",1,IF('Besluit bodemkwaliteit'!I47="@",10,""))</f>
        <v/>
      </c>
      <c r="H24" s="5">
        <f>IF('Besluit bodemkwaliteit'!M47="-",-1,IF('Besluit bodemkwaliteit'!M47="X",2,0))</f>
        <v>0</v>
      </c>
      <c r="R24">
        <f t="shared" si="0"/>
        <v>0</v>
      </c>
    </row>
    <row r="25" spans="1:18">
      <c r="A25" s="10"/>
      <c r="B25" s="11" t="s">
        <v>163</v>
      </c>
      <c r="C25" s="5" t="str">
        <f>IF('Besluit bodemkwaliteit'!H48="X",1,IF('Besluit bodemkwaliteit'!H48="2x",10,""))</f>
        <v/>
      </c>
      <c r="D25" s="5" t="str">
        <f>IF('Besluit bodemkwaliteit'!I48="X",1,IF('Besluit bodemkwaliteit'!I48="@",10,""))</f>
        <v/>
      </c>
      <c r="H25" s="5">
        <f>IF('Besluit bodemkwaliteit'!M48="-",-1,IF('Besluit bodemkwaliteit'!M48="X",2,0))</f>
        <v>0</v>
      </c>
      <c r="R25">
        <f t="shared" si="0"/>
        <v>0</v>
      </c>
    </row>
    <row r="26" spans="1:18">
      <c r="A26" s="10"/>
      <c r="B26" s="11" t="s">
        <v>13</v>
      </c>
      <c r="C26" s="5" t="str">
        <f>IF('Besluit bodemkwaliteit'!H49="X",1,IF('Besluit bodemkwaliteit'!H49="2x",10,""))</f>
        <v/>
      </c>
      <c r="D26" s="5" t="str">
        <f>IF('Besluit bodemkwaliteit'!I49="X",1,IF('Besluit bodemkwaliteit'!I49="@",10,""))</f>
        <v/>
      </c>
      <c r="H26" s="5">
        <f>IF('Besluit bodemkwaliteit'!M49="-",-1,IF('Besluit bodemkwaliteit'!M49="X",2,0))</f>
        <v>0</v>
      </c>
      <c r="R26">
        <f t="shared" si="0"/>
        <v>0</v>
      </c>
    </row>
    <row r="27" spans="1:18">
      <c r="A27" s="10"/>
      <c r="B27" s="11" t="s">
        <v>14</v>
      </c>
      <c r="C27" s="5" t="str">
        <f>IF('Besluit bodemkwaliteit'!H50="X",1,IF('Besluit bodemkwaliteit'!H50="2x",10,""))</f>
        <v/>
      </c>
      <c r="D27" s="5" t="str">
        <f>IF('Besluit bodemkwaliteit'!I50="X",1,IF('Besluit bodemkwaliteit'!I50="@",10,""))</f>
        <v/>
      </c>
      <c r="H27" s="5">
        <f>IF('Besluit bodemkwaliteit'!M50="-",-1,IF('Besluit bodemkwaliteit'!M50="X",2,0))</f>
        <v>0</v>
      </c>
      <c r="R27">
        <f t="shared" si="0"/>
        <v>0</v>
      </c>
    </row>
    <row r="28" spans="1:18">
      <c r="A28" s="10"/>
      <c r="B28" s="11" t="s">
        <v>15</v>
      </c>
      <c r="C28" s="5" t="str">
        <f>IF('Besluit bodemkwaliteit'!H51="X",1,IF('Besluit bodemkwaliteit'!H51="2x",10,""))</f>
        <v/>
      </c>
      <c r="D28" s="5" t="str">
        <f>IF('Besluit bodemkwaliteit'!I51="X",1,IF('Besluit bodemkwaliteit'!I51="@",10,""))</f>
        <v/>
      </c>
      <c r="H28" s="5">
        <f>IF('Besluit bodemkwaliteit'!M51="-",-1,IF('Besluit bodemkwaliteit'!M51="X",2,0))</f>
        <v>0</v>
      </c>
      <c r="R28">
        <f t="shared" si="0"/>
        <v>0</v>
      </c>
    </row>
    <row r="29" spans="1:18">
      <c r="A29" s="10"/>
      <c r="B29" s="11" t="s">
        <v>16</v>
      </c>
      <c r="C29" s="5" t="str">
        <f>IF('Besluit bodemkwaliteit'!H52="X",1,IF('Besluit bodemkwaliteit'!H52="2x",10,""))</f>
        <v/>
      </c>
      <c r="D29" s="5" t="str">
        <f>IF('Besluit bodemkwaliteit'!I52="X",1,IF('Besluit bodemkwaliteit'!I52="@",10,""))</f>
        <v/>
      </c>
      <c r="H29" s="5">
        <f>IF('Besluit bodemkwaliteit'!M52="-",-1,IF('Besluit bodemkwaliteit'!M52="X",2,0))</f>
        <v>0</v>
      </c>
      <c r="R29">
        <f t="shared" si="0"/>
        <v>0</v>
      </c>
    </row>
    <row r="30" spans="1:18">
      <c r="A30" s="10"/>
      <c r="B30" s="11" t="s">
        <v>17</v>
      </c>
      <c r="C30" s="5" t="str">
        <f>IF('Besluit bodemkwaliteit'!H53="X",1,IF('Besluit bodemkwaliteit'!H53="2x",10,""))</f>
        <v/>
      </c>
      <c r="D30" s="5" t="str">
        <f>IF('Besluit bodemkwaliteit'!I53="X",1,IF('Besluit bodemkwaliteit'!I53="@",10,""))</f>
        <v/>
      </c>
      <c r="H30" s="5">
        <f>IF('Besluit bodemkwaliteit'!M53="-",-1,IF('Besluit bodemkwaliteit'!M53="X",2,0))</f>
        <v>0</v>
      </c>
      <c r="R30">
        <f t="shared" si="0"/>
        <v>0</v>
      </c>
    </row>
    <row r="31" spans="1:18">
      <c r="A31" s="10"/>
      <c r="B31" s="11" t="s">
        <v>18</v>
      </c>
      <c r="C31" s="5" t="str">
        <f>IF('Besluit bodemkwaliteit'!H54="X",1,IF('Besluit bodemkwaliteit'!H54="2x",10,""))</f>
        <v/>
      </c>
      <c r="D31" s="5" t="str">
        <f>IF('Besluit bodemkwaliteit'!I54="X",1,IF('Besluit bodemkwaliteit'!I54="@",10,""))</f>
        <v/>
      </c>
      <c r="H31" s="5">
        <f>IF('Besluit bodemkwaliteit'!M54="-",-1,IF('Besluit bodemkwaliteit'!M54="X",2,0))</f>
        <v>0</v>
      </c>
      <c r="R31">
        <f t="shared" si="0"/>
        <v>0</v>
      </c>
    </row>
    <row r="32" spans="1:18">
      <c r="A32" s="10"/>
      <c r="B32" s="11" t="s">
        <v>19</v>
      </c>
      <c r="C32" s="5" t="str">
        <f>IF('Besluit bodemkwaliteit'!H55="X",1,IF('Besluit bodemkwaliteit'!H55="2x",10,""))</f>
        <v/>
      </c>
      <c r="D32" s="5" t="str">
        <f>IF('Besluit bodemkwaliteit'!I55="X",1,IF('Besluit bodemkwaliteit'!I55="@",10,""))</f>
        <v/>
      </c>
      <c r="H32" s="5">
        <f>IF('Besluit bodemkwaliteit'!M55="-",-1,IF('Besluit bodemkwaliteit'!M55="X",2,0))</f>
        <v>0</v>
      </c>
      <c r="R32">
        <f t="shared" si="0"/>
        <v>0</v>
      </c>
    </row>
    <row r="33" spans="1:19">
      <c r="A33" s="10"/>
      <c r="B33" s="11" t="s">
        <v>20</v>
      </c>
      <c r="C33" s="5" t="str">
        <f>IF('Besluit bodemkwaliteit'!H56="X",1,IF('Besluit bodemkwaliteit'!H56="2x",10,""))</f>
        <v/>
      </c>
      <c r="D33" s="5" t="str">
        <f>IF('Besluit bodemkwaliteit'!I56="X",1,IF('Besluit bodemkwaliteit'!I56="@",10,""))</f>
        <v/>
      </c>
      <c r="H33" s="5">
        <f>IF('Besluit bodemkwaliteit'!M56="-",-1,IF('Besluit bodemkwaliteit'!M56="X",2,0))</f>
        <v>0</v>
      </c>
      <c r="R33">
        <f t="shared" si="0"/>
        <v>0</v>
      </c>
    </row>
    <row r="34" spans="1:19">
      <c r="A34" s="10"/>
      <c r="B34" s="11" t="s">
        <v>21</v>
      </c>
      <c r="C34" s="5" t="str">
        <f>IF('Besluit bodemkwaliteit'!H57="X",1,IF('Besluit bodemkwaliteit'!H57="2x",10,""))</f>
        <v/>
      </c>
      <c r="D34" s="5" t="str">
        <f>IF('Besluit bodemkwaliteit'!I57="X",1,IF('Besluit bodemkwaliteit'!I57="@",10,""))</f>
        <v/>
      </c>
      <c r="H34" s="5">
        <f>IF('Besluit bodemkwaliteit'!M57="-",-1,IF('Besluit bodemkwaliteit'!M57="X",2,0))</f>
        <v>0</v>
      </c>
      <c r="R34">
        <f t="shared" si="0"/>
        <v>0</v>
      </c>
    </row>
    <row r="35" spans="1:19">
      <c r="A35" s="10"/>
      <c r="B35" s="11"/>
      <c r="Q35" t="s">
        <v>392</v>
      </c>
      <c r="R35">
        <f>MAX(R21:R34)</f>
        <v>0</v>
      </c>
      <c r="S35" t="str">
        <f>IF(R35&gt;0,"loogt te veel uit of uitloging nog onvoldoende onderzocht","OK")</f>
        <v>OK</v>
      </c>
    </row>
    <row r="36" spans="1:19">
      <c r="A36" s="32">
        <v>2</v>
      </c>
      <c r="B36" s="32" t="s">
        <v>22</v>
      </c>
    </row>
    <row r="37" spans="1:19">
      <c r="A37" s="10"/>
      <c r="B37" s="11" t="s">
        <v>23</v>
      </c>
      <c r="C37" s="5" t="str">
        <f>IF('Besluit bodemkwaliteit'!H60="X",1,IF('Besluit bodemkwaliteit'!H60="2x",10,""))</f>
        <v/>
      </c>
      <c r="D37" s="5" t="str">
        <f>IF('Besluit bodemkwaliteit'!I60="X",1,IF('Besluit bodemkwaliteit'!I60="@",10,""))</f>
        <v/>
      </c>
      <c r="E37" s="5" t="str">
        <f>IF('Besluit bodemkwaliteit'!J60="X",1,"")</f>
        <v/>
      </c>
      <c r="F37" s="5" t="str">
        <f>IF('Besluit bodemkwaliteit'!K60="X",1,"")</f>
        <v/>
      </c>
      <c r="G37" s="5" t="str">
        <f>IF('Besluit bodemkwaliteit'!L60="X",1,"")</f>
        <v/>
      </c>
      <c r="H37" s="5" t="str">
        <f>IF('Besluit bodemkwaliteit'!M60="X",1,"")</f>
        <v/>
      </c>
      <c r="I37" s="5" t="str">
        <f>IF('Besluit bodemkwaliteit'!N60="X",1,"")</f>
        <v/>
      </c>
      <c r="J37" s="5" t="str">
        <f>IF('Besluit bodemkwaliteit'!O60="X",1,"")</f>
        <v/>
      </c>
      <c r="K37" s="5" t="str">
        <f>IF('Besluit bodemkwaliteit'!P60="X",1,"")</f>
        <v/>
      </c>
      <c r="L37" s="5" t="str">
        <f>IF('Besluit bodemkwaliteit'!Q60="X",1,"")</f>
        <v/>
      </c>
      <c r="M37" s="5" t="str">
        <f>IF('Besluit bodemkwaliteit'!R60="X",1,"")</f>
        <v/>
      </c>
      <c r="N37" s="5" t="str">
        <f>IF('Besluit bodemkwaliteit'!S60="X",1,"")</f>
        <v/>
      </c>
    </row>
    <row r="38" spans="1:19">
      <c r="A38" s="10"/>
      <c r="B38" s="11" t="s">
        <v>24</v>
      </c>
      <c r="C38" s="5" t="str">
        <f>IF('Besluit bodemkwaliteit'!H61="X",1,IF('Besluit bodemkwaliteit'!H61="2x",10,""))</f>
        <v/>
      </c>
      <c r="D38" s="5" t="str">
        <f>IF('Besluit bodemkwaliteit'!I61="X",1,IF('Besluit bodemkwaliteit'!I61="@",10,""))</f>
        <v/>
      </c>
      <c r="E38" s="5" t="str">
        <f>IF('Besluit bodemkwaliteit'!J61="X",1,"")</f>
        <v/>
      </c>
      <c r="F38" s="5" t="str">
        <f>IF('Besluit bodemkwaliteit'!K61="X",1,"")</f>
        <v/>
      </c>
      <c r="G38" s="5" t="str">
        <f>IF('Besluit bodemkwaliteit'!L61="X",1,"")</f>
        <v/>
      </c>
      <c r="H38" s="5" t="str">
        <f>IF('Besluit bodemkwaliteit'!M61="X",1,"")</f>
        <v/>
      </c>
      <c r="I38" s="5" t="str">
        <f>IF('Besluit bodemkwaliteit'!N61="X",1,"")</f>
        <v/>
      </c>
      <c r="J38" s="5" t="str">
        <f>IF('Besluit bodemkwaliteit'!O61="X",1,"")</f>
        <v/>
      </c>
      <c r="K38" s="5" t="str">
        <f>IF('Besluit bodemkwaliteit'!P61="X",1,"")</f>
        <v/>
      </c>
      <c r="L38" s="5" t="str">
        <f>IF('Besluit bodemkwaliteit'!Q61="X",1,"")</f>
        <v/>
      </c>
      <c r="M38" s="5" t="str">
        <f>IF('Besluit bodemkwaliteit'!R61="X",1,"")</f>
        <v/>
      </c>
      <c r="N38" s="5" t="str">
        <f>IF('Besluit bodemkwaliteit'!S61="X",1,"")</f>
        <v/>
      </c>
    </row>
    <row r="39" spans="1:19">
      <c r="A39" s="10"/>
      <c r="B39" s="11" t="s">
        <v>25</v>
      </c>
      <c r="C39" s="5" t="str">
        <f>IF('Besluit bodemkwaliteit'!H62="X",1,IF('Besluit bodemkwaliteit'!H62="2x",10,""))</f>
        <v/>
      </c>
      <c r="D39" s="5" t="str">
        <f>IF('Besluit bodemkwaliteit'!I62="X",1,IF('Besluit bodemkwaliteit'!I62="@",10,""))</f>
        <v/>
      </c>
      <c r="E39" s="5" t="str">
        <f>IF('Besluit bodemkwaliteit'!J62="X",1,"")</f>
        <v/>
      </c>
      <c r="F39" s="5" t="str">
        <f>IF('Besluit bodemkwaliteit'!K62="X",1,"")</f>
        <v/>
      </c>
      <c r="G39" s="5" t="str">
        <f>IF('Besluit bodemkwaliteit'!L62="X",1,"")</f>
        <v/>
      </c>
      <c r="H39" s="5" t="str">
        <f>IF('Besluit bodemkwaliteit'!M62="X",1,"")</f>
        <v/>
      </c>
      <c r="I39" s="5" t="str">
        <f>IF('Besluit bodemkwaliteit'!N62="X",1,"")</f>
        <v/>
      </c>
      <c r="J39" s="5" t="str">
        <f>IF('Besluit bodemkwaliteit'!O62="X",1,"")</f>
        <v/>
      </c>
      <c r="K39" s="5" t="str">
        <f>IF('Besluit bodemkwaliteit'!P62="X",1,"")</f>
        <v/>
      </c>
      <c r="L39" s="5" t="str">
        <f>IF('Besluit bodemkwaliteit'!Q62="X",1,"")</f>
        <v/>
      </c>
      <c r="M39" s="5" t="str">
        <f>IF('Besluit bodemkwaliteit'!R62="X",1,"")</f>
        <v/>
      </c>
      <c r="N39" s="5" t="str">
        <f>IF('Besluit bodemkwaliteit'!S62="X",1,"")</f>
        <v/>
      </c>
    </row>
    <row r="40" spans="1:19">
      <c r="A40" s="10"/>
      <c r="B40" s="11" t="s">
        <v>26</v>
      </c>
      <c r="C40" s="5" t="str">
        <f>IF('Besluit bodemkwaliteit'!H63="X",1,IF('Besluit bodemkwaliteit'!H63="2x",10,""))</f>
        <v/>
      </c>
      <c r="D40" s="5" t="str">
        <f>IF('Besluit bodemkwaliteit'!I63="X",1,IF('Besluit bodemkwaliteit'!I63="@",10,""))</f>
        <v/>
      </c>
      <c r="E40" s="5" t="str">
        <f>IF('Besluit bodemkwaliteit'!J63="X",1,"")</f>
        <v/>
      </c>
      <c r="F40" s="5" t="str">
        <f>IF('Besluit bodemkwaliteit'!K63="X",1,"")</f>
        <v/>
      </c>
      <c r="G40" s="5" t="str">
        <f>IF('Besluit bodemkwaliteit'!L63="X",1,"")</f>
        <v/>
      </c>
      <c r="H40" s="5" t="str">
        <f>IF('Besluit bodemkwaliteit'!M63="X",1,"")</f>
        <v/>
      </c>
      <c r="I40" s="5" t="str">
        <f>IF('Besluit bodemkwaliteit'!N63="X",1,"")</f>
        <v/>
      </c>
      <c r="J40" s="5" t="str">
        <f>IF('Besluit bodemkwaliteit'!O63="X",1,"")</f>
        <v/>
      </c>
      <c r="K40" s="5" t="str">
        <f>IF('Besluit bodemkwaliteit'!P63="X",1,"")</f>
        <v/>
      </c>
      <c r="L40" s="5" t="str">
        <f>IF('Besluit bodemkwaliteit'!Q63="X",1,"")</f>
        <v/>
      </c>
      <c r="M40" s="5" t="str">
        <f>IF('Besluit bodemkwaliteit'!R63="X",1,"")</f>
        <v/>
      </c>
      <c r="N40" s="5" t="str">
        <f>IF('Besluit bodemkwaliteit'!S63="X",1,"")</f>
        <v/>
      </c>
    </row>
    <row r="41" spans="1:19">
      <c r="A41" s="10"/>
      <c r="B41" s="11" t="s">
        <v>263</v>
      </c>
      <c r="C41" s="5" t="str">
        <f>IF('Besluit bodemkwaliteit'!H64="X",1,IF('Besluit bodemkwaliteit'!H64="2x",10,""))</f>
        <v/>
      </c>
      <c r="D41" s="5" t="str">
        <f>IF('Besluit bodemkwaliteit'!I64="X",1,IF('Besluit bodemkwaliteit'!I64="@",10,""))</f>
        <v/>
      </c>
      <c r="E41" s="5" t="str">
        <f>IF('Besluit bodemkwaliteit'!J64="X",1,"")</f>
        <v/>
      </c>
      <c r="F41" s="5" t="str">
        <f>IF('Besluit bodemkwaliteit'!K64="X",1,"")</f>
        <v/>
      </c>
      <c r="G41" s="5" t="str">
        <f>IF('Besluit bodemkwaliteit'!L64="X",1,"")</f>
        <v/>
      </c>
      <c r="H41" s="5" t="str">
        <f>IF('Besluit bodemkwaliteit'!M64="X",1,"")</f>
        <v/>
      </c>
      <c r="I41" s="5" t="str">
        <f>IF('Besluit bodemkwaliteit'!N64="X",1,"")</f>
        <v/>
      </c>
      <c r="J41" s="5" t="str">
        <f>IF('Besluit bodemkwaliteit'!O64="X",1,"")</f>
        <v/>
      </c>
      <c r="K41" s="5" t="str">
        <f>IF('Besluit bodemkwaliteit'!P64="X",1,"")</f>
        <v/>
      </c>
      <c r="L41" s="5" t="str">
        <f>IF('Besluit bodemkwaliteit'!Q64="X",1,"")</f>
        <v/>
      </c>
      <c r="M41" s="5" t="str">
        <f>IF('Besluit bodemkwaliteit'!R64="X",1,"")</f>
        <v/>
      </c>
      <c r="N41" s="5" t="str">
        <f>IF('Besluit bodemkwaliteit'!S64="X",1,"")</f>
        <v/>
      </c>
    </row>
    <row r="42" spans="1:19">
      <c r="A42" s="10"/>
      <c r="B42" s="11" t="s">
        <v>28</v>
      </c>
      <c r="C42" s="5" t="str">
        <f>IF('Besluit bodemkwaliteit'!H65="X",1,IF('Besluit bodemkwaliteit'!H65="2x",10,""))</f>
        <v/>
      </c>
      <c r="D42" s="5" t="str">
        <f>IF('Besluit bodemkwaliteit'!I65="X",1,IF('Besluit bodemkwaliteit'!I65="@",10,""))</f>
        <v/>
      </c>
      <c r="E42" s="5" t="str">
        <f>IF('Besluit bodemkwaliteit'!J65="X",1,"")</f>
        <v/>
      </c>
      <c r="F42" s="5" t="str">
        <f>IF('Besluit bodemkwaliteit'!K65="X",1,"")</f>
        <v/>
      </c>
      <c r="G42" s="5" t="str">
        <f>IF('Besluit bodemkwaliteit'!L65="X",1,"")</f>
        <v/>
      </c>
      <c r="H42" s="5" t="str">
        <f>IF('Besluit bodemkwaliteit'!M65="X",1,"")</f>
        <v/>
      </c>
      <c r="I42" s="5" t="str">
        <f>IF('Besluit bodemkwaliteit'!N65="X",1,"")</f>
        <v/>
      </c>
      <c r="J42" s="5" t="str">
        <f>IF('Besluit bodemkwaliteit'!O65="X",1,"")</f>
        <v/>
      </c>
      <c r="K42" s="5" t="str">
        <f>IF('Besluit bodemkwaliteit'!P65="X",1,"")</f>
        <v/>
      </c>
      <c r="L42" s="5" t="str">
        <f>IF('Besluit bodemkwaliteit'!Q65="X",1,"")</f>
        <v/>
      </c>
      <c r="M42" s="5" t="str">
        <f>IF('Besluit bodemkwaliteit'!R65="X",1,"")</f>
        <v/>
      </c>
      <c r="N42" s="5" t="str">
        <f>IF('Besluit bodemkwaliteit'!S65="X",1,"")</f>
        <v/>
      </c>
    </row>
    <row r="43" spans="1:19">
      <c r="A43" s="10"/>
      <c r="B43" s="11"/>
    </row>
    <row r="44" spans="1:19">
      <c r="A44" s="32">
        <v>3</v>
      </c>
      <c r="B44" s="32" t="s">
        <v>29</v>
      </c>
    </row>
    <row r="45" spans="1:19">
      <c r="A45" s="10"/>
      <c r="B45" s="11" t="s">
        <v>30</v>
      </c>
      <c r="C45" s="5" t="str">
        <f>IF('Besluit bodemkwaliteit'!H68="X",1,IF('Besluit bodemkwaliteit'!H68="2x",10,""))</f>
        <v/>
      </c>
      <c r="D45" s="5" t="str">
        <f>IF('Besluit bodemkwaliteit'!I68="X",1,IF('Besluit bodemkwaliteit'!I68="@",10,""))</f>
        <v/>
      </c>
      <c r="E45" s="5" t="str">
        <f>IF('Besluit bodemkwaliteit'!J68="X",1,"")</f>
        <v/>
      </c>
      <c r="F45" s="5" t="str">
        <f>IF('Besluit bodemkwaliteit'!K68="X",1,"")</f>
        <v/>
      </c>
      <c r="G45" s="5" t="str">
        <f>IF('Besluit bodemkwaliteit'!L68="X",1,"")</f>
        <v/>
      </c>
      <c r="H45" s="5" t="str">
        <f>IF('Besluit bodemkwaliteit'!M68="X",1,"")</f>
        <v/>
      </c>
      <c r="I45" s="5" t="str">
        <f>IF('Besluit bodemkwaliteit'!N68="X",1,"")</f>
        <v/>
      </c>
      <c r="J45" s="5" t="str">
        <f>IF('Besluit bodemkwaliteit'!O68="X",1,"")</f>
        <v/>
      </c>
      <c r="K45" s="5" t="str">
        <f>IF('Besluit bodemkwaliteit'!P68="X",1,"")</f>
        <v/>
      </c>
      <c r="L45" s="5" t="str">
        <f>IF('Besluit bodemkwaliteit'!Q68="X",1,"")</f>
        <v/>
      </c>
      <c r="M45" s="5" t="str">
        <f>IF('Besluit bodemkwaliteit'!R68="X",1,"")</f>
        <v/>
      </c>
      <c r="N45" s="5" t="str">
        <f>IF('Besluit bodemkwaliteit'!S68="X",1,"")</f>
        <v/>
      </c>
    </row>
    <row r="46" spans="1:19">
      <c r="A46" s="10"/>
      <c r="B46" s="11" t="s">
        <v>31</v>
      </c>
      <c r="C46" s="5" t="str">
        <f>IF('Besluit bodemkwaliteit'!H69="X",1,IF('Besluit bodemkwaliteit'!H69="2x",10,""))</f>
        <v/>
      </c>
      <c r="D46" s="5" t="str">
        <f>IF('Besluit bodemkwaliteit'!I69="X",1,IF('Besluit bodemkwaliteit'!I69="@",10,""))</f>
        <v/>
      </c>
      <c r="E46" s="5" t="str">
        <f>IF('Besluit bodemkwaliteit'!J69="X",1,"")</f>
        <v/>
      </c>
      <c r="F46" s="5" t="str">
        <f>IF('Besluit bodemkwaliteit'!K69="X",1,"")</f>
        <v/>
      </c>
      <c r="G46" s="5" t="str">
        <f>IF('Besluit bodemkwaliteit'!L69="X",1,"")</f>
        <v/>
      </c>
      <c r="H46" s="5" t="str">
        <f>IF('Besluit bodemkwaliteit'!M69="X",1,"")</f>
        <v/>
      </c>
      <c r="I46" s="5" t="str">
        <f>IF('Besluit bodemkwaliteit'!N69="X",1,"")</f>
        <v/>
      </c>
      <c r="J46" s="5" t="str">
        <f>IF('Besluit bodemkwaliteit'!O69="X",1,"")</f>
        <v/>
      </c>
      <c r="K46" s="5" t="str">
        <f>IF('Besluit bodemkwaliteit'!P69="X",1,"")</f>
        <v/>
      </c>
      <c r="L46" s="5" t="str">
        <f>IF('Besluit bodemkwaliteit'!Q69="X",1,"")</f>
        <v/>
      </c>
      <c r="M46" s="5" t="str">
        <f>IF('Besluit bodemkwaliteit'!R69="X",1,"")</f>
        <v/>
      </c>
      <c r="N46" s="5" t="str">
        <f>IF('Besluit bodemkwaliteit'!S69="X",1,"")</f>
        <v/>
      </c>
    </row>
    <row r="47" spans="1:19">
      <c r="A47" s="10"/>
      <c r="B47" s="11" t="s">
        <v>32</v>
      </c>
      <c r="C47" s="5" t="str">
        <f>IF('Besluit bodemkwaliteit'!H70="X",1,IF('Besluit bodemkwaliteit'!H70="2x",10,""))</f>
        <v/>
      </c>
      <c r="D47" s="5" t="str">
        <f>IF('Besluit bodemkwaliteit'!I70="X",1,IF('Besluit bodemkwaliteit'!I70="@",10,""))</f>
        <v/>
      </c>
      <c r="E47" s="5" t="str">
        <f>IF('Besluit bodemkwaliteit'!J70="X",1,"")</f>
        <v/>
      </c>
      <c r="F47" s="5" t="str">
        <f>IF('Besluit bodemkwaliteit'!K70="X",1,"")</f>
        <v/>
      </c>
      <c r="G47" s="5" t="str">
        <f>IF('Besluit bodemkwaliteit'!L70="X",1,"")</f>
        <v/>
      </c>
      <c r="H47" s="5" t="str">
        <f>IF('Besluit bodemkwaliteit'!M70="X",1,"")</f>
        <v/>
      </c>
      <c r="I47" s="5" t="str">
        <f>IF('Besluit bodemkwaliteit'!N70="X",1,"")</f>
        <v/>
      </c>
      <c r="J47" s="5" t="str">
        <f>IF('Besluit bodemkwaliteit'!O70="X",1,"")</f>
        <v/>
      </c>
      <c r="K47" s="5" t="str">
        <f>IF('Besluit bodemkwaliteit'!P70="X",1,"")</f>
        <v/>
      </c>
      <c r="L47" s="5" t="str">
        <f>IF('Besluit bodemkwaliteit'!Q70="X",1,"")</f>
        <v/>
      </c>
      <c r="M47" s="5" t="str">
        <f>IF('Besluit bodemkwaliteit'!R70="X",1,"")</f>
        <v/>
      </c>
      <c r="N47" s="5" t="str">
        <f>IF('Besluit bodemkwaliteit'!S70="X",1,"")</f>
        <v/>
      </c>
    </row>
    <row r="48" spans="1:19">
      <c r="A48" s="10"/>
      <c r="B48" s="11" t="s">
        <v>33</v>
      </c>
      <c r="C48" s="5" t="str">
        <f>IF('Besluit bodemkwaliteit'!H71="X",1,IF('Besluit bodemkwaliteit'!H71="2x",10,""))</f>
        <v/>
      </c>
      <c r="D48" s="5" t="str">
        <f>IF('Besluit bodemkwaliteit'!I71="X",1,IF('Besluit bodemkwaliteit'!I71="@",10,""))</f>
        <v/>
      </c>
      <c r="E48" s="5" t="str">
        <f>IF('Besluit bodemkwaliteit'!J71="X",1,"")</f>
        <v/>
      </c>
      <c r="F48" s="5" t="str">
        <f>IF('Besluit bodemkwaliteit'!K71="X",1,"")</f>
        <v/>
      </c>
      <c r="G48" s="5" t="str">
        <f>IF('Besluit bodemkwaliteit'!L71="X",1,"")</f>
        <v/>
      </c>
      <c r="H48" s="5" t="str">
        <f>IF('Besluit bodemkwaliteit'!M71="X",1,"")</f>
        <v/>
      </c>
      <c r="I48" s="5" t="str">
        <f>IF('Besluit bodemkwaliteit'!N71="X",1,"")</f>
        <v/>
      </c>
      <c r="J48" s="5" t="str">
        <f>IF('Besluit bodemkwaliteit'!O71="X",1,"")</f>
        <v/>
      </c>
      <c r="K48" s="5" t="str">
        <f>IF('Besluit bodemkwaliteit'!P71="X",1,"")</f>
        <v/>
      </c>
      <c r="L48" s="5" t="str">
        <f>IF('Besluit bodemkwaliteit'!Q71="X",1,"")</f>
        <v/>
      </c>
      <c r="M48" s="5" t="str">
        <f>IF('Besluit bodemkwaliteit'!R71="X",1,"")</f>
        <v/>
      </c>
      <c r="N48" s="5" t="str">
        <f>IF('Besluit bodemkwaliteit'!S71="X",1,"")</f>
        <v/>
      </c>
    </row>
    <row r="49" spans="1:14">
      <c r="A49" s="10"/>
      <c r="B49" s="11" t="s">
        <v>34</v>
      </c>
      <c r="C49" s="5" t="str">
        <f>IF('Besluit bodemkwaliteit'!H72="X",1,IF('Besluit bodemkwaliteit'!H72="2x",10,""))</f>
        <v/>
      </c>
      <c r="D49" s="5" t="str">
        <f>IF('Besluit bodemkwaliteit'!I72="X",1,IF('Besluit bodemkwaliteit'!I72="@",10,""))</f>
        <v/>
      </c>
      <c r="E49" s="5" t="str">
        <f>IF('Besluit bodemkwaliteit'!J72="X",1,"")</f>
        <v/>
      </c>
      <c r="F49" s="5" t="str">
        <f>IF('Besluit bodemkwaliteit'!K72="X",1,"")</f>
        <v/>
      </c>
      <c r="G49" s="5" t="str">
        <f>IF('Besluit bodemkwaliteit'!L72="X",1,"")</f>
        <v/>
      </c>
      <c r="H49" s="5" t="str">
        <f>IF('Besluit bodemkwaliteit'!M72="X",1,"")</f>
        <v/>
      </c>
      <c r="I49" s="5" t="str">
        <f>IF('Besluit bodemkwaliteit'!N72="X",1,"")</f>
        <v/>
      </c>
      <c r="J49" s="5" t="str">
        <f>IF('Besluit bodemkwaliteit'!O72="X",1,"")</f>
        <v/>
      </c>
      <c r="K49" s="5" t="str">
        <f>IF('Besluit bodemkwaliteit'!P72="X",1,"")</f>
        <v/>
      </c>
      <c r="L49" s="5" t="str">
        <f>IF('Besluit bodemkwaliteit'!Q72="X",1,"")</f>
        <v/>
      </c>
      <c r="M49" s="5" t="str">
        <f>IF('Besluit bodemkwaliteit'!R72="X",1,"")</f>
        <v/>
      </c>
      <c r="N49" s="5" t="str">
        <f>IF('Besluit bodemkwaliteit'!S72="X",1,"")</f>
        <v/>
      </c>
    </row>
    <row r="50" spans="1:14">
      <c r="A50" s="10"/>
      <c r="B50" s="11" t="s">
        <v>35</v>
      </c>
      <c r="C50" s="5" t="str">
        <f>IF('Besluit bodemkwaliteit'!H73="X",1,IF('Besluit bodemkwaliteit'!H73="2x",10,""))</f>
        <v/>
      </c>
      <c r="D50" s="5" t="str">
        <f>IF('Besluit bodemkwaliteit'!I73="X",1,IF('Besluit bodemkwaliteit'!I73="@",10,""))</f>
        <v/>
      </c>
      <c r="E50" s="5" t="str">
        <f>IF('Besluit bodemkwaliteit'!J73="X",1,"")</f>
        <v/>
      </c>
      <c r="F50" s="5" t="str">
        <f>IF('Besluit bodemkwaliteit'!K73="X",1,"")</f>
        <v/>
      </c>
      <c r="G50" s="5" t="str">
        <f>IF('Besluit bodemkwaliteit'!L73="X",1,"")</f>
        <v/>
      </c>
      <c r="H50" s="5" t="str">
        <f>IF('Besluit bodemkwaliteit'!M73="X",1,"")</f>
        <v/>
      </c>
      <c r="I50" s="5" t="str">
        <f>IF('Besluit bodemkwaliteit'!N73="X",1,"")</f>
        <v/>
      </c>
      <c r="J50" s="5" t="str">
        <f>IF('Besluit bodemkwaliteit'!O73="X",1,"")</f>
        <v/>
      </c>
      <c r="K50" s="5" t="str">
        <f>IF('Besluit bodemkwaliteit'!P73="X",1,"")</f>
        <v/>
      </c>
      <c r="L50" s="5" t="str">
        <f>IF('Besluit bodemkwaliteit'!Q73="X",1,"")</f>
        <v/>
      </c>
      <c r="M50" s="5" t="str">
        <f>IF('Besluit bodemkwaliteit'!R73="X",1,"")</f>
        <v/>
      </c>
      <c r="N50" s="5" t="str">
        <f>IF('Besluit bodemkwaliteit'!S73="X",1,"")</f>
        <v/>
      </c>
    </row>
    <row r="51" spans="1:14">
      <c r="A51" s="10"/>
      <c r="B51" s="11" t="s">
        <v>36</v>
      </c>
      <c r="C51" s="5" t="str">
        <f>IF('Besluit bodemkwaliteit'!H74="X",1,IF('Besluit bodemkwaliteit'!H74="2x",10,""))</f>
        <v/>
      </c>
      <c r="D51" s="5" t="str">
        <f>IF('Besluit bodemkwaliteit'!I74="X",1,IF('Besluit bodemkwaliteit'!I74="@",10,""))</f>
        <v/>
      </c>
      <c r="E51" s="5" t="str">
        <f>IF('Besluit bodemkwaliteit'!J74="X",1,"")</f>
        <v/>
      </c>
      <c r="F51" s="5" t="str">
        <f>IF('Besluit bodemkwaliteit'!K74="X",1,"")</f>
        <v/>
      </c>
      <c r="G51" s="5" t="str">
        <f>IF('Besluit bodemkwaliteit'!L74="X",1,"")</f>
        <v/>
      </c>
      <c r="H51" s="5" t="str">
        <f>IF('Besluit bodemkwaliteit'!M74="X",1,"")</f>
        <v/>
      </c>
      <c r="I51" s="5" t="str">
        <f>IF('Besluit bodemkwaliteit'!N74="X",1,"")</f>
        <v/>
      </c>
      <c r="J51" s="5" t="str">
        <f>IF('Besluit bodemkwaliteit'!O74="X",1,"")</f>
        <v/>
      </c>
      <c r="K51" s="5" t="str">
        <f>IF('Besluit bodemkwaliteit'!P74="X",1,"")</f>
        <v/>
      </c>
      <c r="L51" s="5" t="str">
        <f>IF('Besluit bodemkwaliteit'!Q74="X",1,"")</f>
        <v/>
      </c>
      <c r="M51" s="5" t="str">
        <f>IF('Besluit bodemkwaliteit'!R74="X",1,"")</f>
        <v/>
      </c>
      <c r="N51" s="5" t="str">
        <f>IF('Besluit bodemkwaliteit'!S74="X",1,"")</f>
        <v/>
      </c>
    </row>
    <row r="52" spans="1:14">
      <c r="A52" s="10"/>
      <c r="B52" s="11" t="s">
        <v>37</v>
      </c>
      <c r="C52" s="5" t="str">
        <f>IF('Besluit bodemkwaliteit'!H75="X",1,IF('Besluit bodemkwaliteit'!H75="2x",10,""))</f>
        <v/>
      </c>
      <c r="D52" s="5" t="str">
        <f>IF('Besluit bodemkwaliteit'!I75="X",1,IF('Besluit bodemkwaliteit'!I75="@",10,""))</f>
        <v/>
      </c>
      <c r="E52" s="5" t="str">
        <f>IF('Besluit bodemkwaliteit'!J75="X",1,"")</f>
        <v/>
      </c>
      <c r="F52" s="5" t="str">
        <f>IF('Besluit bodemkwaliteit'!K75="X",1,"")</f>
        <v/>
      </c>
      <c r="G52" s="5" t="str">
        <f>IF('Besluit bodemkwaliteit'!L75="X",1,"")</f>
        <v/>
      </c>
      <c r="H52" s="5" t="str">
        <f>IF('Besluit bodemkwaliteit'!M75="X",1,"")</f>
        <v/>
      </c>
      <c r="I52" s="5" t="str">
        <f>IF('Besluit bodemkwaliteit'!N75="X",1,"")</f>
        <v/>
      </c>
      <c r="J52" s="5" t="str">
        <f>IF('Besluit bodemkwaliteit'!O75="X",1,"")</f>
        <v/>
      </c>
      <c r="K52" s="5" t="str">
        <f>IF('Besluit bodemkwaliteit'!P75="X",1,"")</f>
        <v/>
      </c>
      <c r="L52" s="5" t="str">
        <f>IF('Besluit bodemkwaliteit'!Q75="X",1,"")</f>
        <v/>
      </c>
      <c r="M52" s="5" t="str">
        <f>IF('Besluit bodemkwaliteit'!R75="X",1,"")</f>
        <v/>
      </c>
      <c r="N52" s="5" t="str">
        <f>IF('Besluit bodemkwaliteit'!S75="X",1,"")</f>
        <v/>
      </c>
    </row>
    <row r="53" spans="1:14">
      <c r="A53" s="10"/>
      <c r="B53" s="11" t="s">
        <v>38</v>
      </c>
      <c r="C53" s="5" t="str">
        <f>IF('Besluit bodemkwaliteit'!H76="X",1,IF('Besluit bodemkwaliteit'!H76="2x",10,""))</f>
        <v/>
      </c>
      <c r="D53" s="5" t="str">
        <f>IF('Besluit bodemkwaliteit'!I76="X",1,IF('Besluit bodemkwaliteit'!I76="@",10,""))</f>
        <v/>
      </c>
      <c r="E53" s="5" t="str">
        <f>IF('Besluit bodemkwaliteit'!J76="X",1,"")</f>
        <v/>
      </c>
      <c r="F53" s="5" t="str">
        <f>IF('Besluit bodemkwaliteit'!K76="X",1,"")</f>
        <v/>
      </c>
      <c r="G53" s="5" t="str">
        <f>IF('Besluit bodemkwaliteit'!L76="X",1,"")</f>
        <v/>
      </c>
      <c r="H53" s="5" t="str">
        <f>IF('Besluit bodemkwaliteit'!M76="X",1,"")</f>
        <v/>
      </c>
      <c r="I53" s="5" t="str">
        <f>IF('Besluit bodemkwaliteit'!N76="X",1,"")</f>
        <v/>
      </c>
      <c r="J53" s="5" t="str">
        <f>IF('Besluit bodemkwaliteit'!O76="X",1,"")</f>
        <v/>
      </c>
      <c r="K53" s="5" t="str">
        <f>IF('Besluit bodemkwaliteit'!P76="X",1,"")</f>
        <v/>
      </c>
      <c r="L53" s="5" t="str">
        <f>IF('Besluit bodemkwaliteit'!Q76="X",1,"")</f>
        <v/>
      </c>
      <c r="M53" s="5" t="str">
        <f>IF('Besluit bodemkwaliteit'!R76="X",1,"")</f>
        <v/>
      </c>
      <c r="N53" s="5" t="str">
        <f>IF('Besluit bodemkwaliteit'!S76="X",1,"")</f>
        <v/>
      </c>
    </row>
    <row r="54" spans="1:14">
      <c r="A54" s="10"/>
      <c r="B54" s="11"/>
    </row>
    <row r="55" spans="1:14">
      <c r="A55" s="32">
        <v>4</v>
      </c>
      <c r="B55" s="32" t="s">
        <v>39</v>
      </c>
    </row>
    <row r="56" spans="1:14">
      <c r="A56" s="10"/>
      <c r="B56" s="11" t="s">
        <v>40</v>
      </c>
      <c r="C56" s="5" t="str">
        <f>IF('Besluit bodemkwaliteit'!H79="X",1,IF('Besluit bodemkwaliteit'!H79="2x",10,""))</f>
        <v/>
      </c>
      <c r="D56" s="5" t="str">
        <f>IF('Besluit bodemkwaliteit'!I79="X",1,IF('Besluit bodemkwaliteit'!I79="@",10,""))</f>
        <v/>
      </c>
      <c r="E56" s="5" t="str">
        <f>IF('Besluit bodemkwaliteit'!J79="X",1,"")</f>
        <v/>
      </c>
      <c r="F56" s="5" t="str">
        <f>IF('Besluit bodemkwaliteit'!K79="X",1,"")</f>
        <v/>
      </c>
      <c r="G56" s="5" t="str">
        <f>IF('Besluit bodemkwaliteit'!L79="X",1,"")</f>
        <v/>
      </c>
      <c r="H56" s="5" t="str">
        <f>IF('Besluit bodemkwaliteit'!M79="X",1,"")</f>
        <v/>
      </c>
      <c r="I56" s="5" t="str">
        <f>IF('Besluit bodemkwaliteit'!N79="X",1,"")</f>
        <v/>
      </c>
      <c r="J56" s="5" t="str">
        <f>IF('Besluit bodemkwaliteit'!O79="X",1,"")</f>
        <v/>
      </c>
      <c r="K56" s="5" t="str">
        <f>IF('Besluit bodemkwaliteit'!P79="X",1,"")</f>
        <v/>
      </c>
      <c r="L56" s="5" t="str">
        <f>IF('Besluit bodemkwaliteit'!Q79="X",1,"")</f>
        <v/>
      </c>
      <c r="M56" s="5" t="str">
        <f>IF('Besluit bodemkwaliteit'!R79="X",1,"")</f>
        <v/>
      </c>
      <c r="N56" s="5" t="str">
        <f>IF('Besluit bodemkwaliteit'!S79="X",1,"")</f>
        <v/>
      </c>
    </row>
    <row r="57" spans="1:14">
      <c r="A57" s="10"/>
      <c r="B57" s="11" t="s">
        <v>41</v>
      </c>
      <c r="C57" s="5" t="str">
        <f>IF('Besluit bodemkwaliteit'!H80="X",1,IF('Besluit bodemkwaliteit'!H80="2x",10,""))</f>
        <v/>
      </c>
      <c r="D57" s="5" t="str">
        <f>IF('Besluit bodemkwaliteit'!I80="X",1,IF('Besluit bodemkwaliteit'!I80="@",10,""))</f>
        <v/>
      </c>
      <c r="E57" s="5" t="str">
        <f>IF('Besluit bodemkwaliteit'!J80="X",1,"")</f>
        <v/>
      </c>
      <c r="F57" s="5" t="str">
        <f>IF('Besluit bodemkwaliteit'!K80="X",1,"")</f>
        <v/>
      </c>
      <c r="G57" s="5" t="str">
        <f>IF('Besluit bodemkwaliteit'!L80="X",1,"")</f>
        <v/>
      </c>
      <c r="H57" s="5" t="str">
        <f>IF('Besluit bodemkwaliteit'!M80="X",1,"")</f>
        <v/>
      </c>
      <c r="I57" s="5" t="str">
        <f>IF('Besluit bodemkwaliteit'!N80="X",1,"")</f>
        <v/>
      </c>
      <c r="J57" s="5" t="str">
        <f>IF('Besluit bodemkwaliteit'!O80="X",1,"")</f>
        <v/>
      </c>
      <c r="K57" s="5" t="str">
        <f>IF('Besluit bodemkwaliteit'!P80="X",1,"")</f>
        <v/>
      </c>
      <c r="L57" s="5" t="str">
        <f>IF('Besluit bodemkwaliteit'!Q80="X",1,"")</f>
        <v/>
      </c>
      <c r="M57" s="5" t="str">
        <f>IF('Besluit bodemkwaliteit'!R80="X",1,"")</f>
        <v/>
      </c>
      <c r="N57" s="5" t="str">
        <f>IF('Besluit bodemkwaliteit'!S80="X",1,"")</f>
        <v/>
      </c>
    </row>
    <row r="58" spans="1:14">
      <c r="A58" s="10"/>
      <c r="B58" s="11" t="s">
        <v>42</v>
      </c>
      <c r="C58" s="5" t="str">
        <f>IF('Besluit bodemkwaliteit'!H81="X",1,IF('Besluit bodemkwaliteit'!H81="2x",10,""))</f>
        <v/>
      </c>
      <c r="D58" s="5" t="str">
        <f>IF('Besluit bodemkwaliteit'!I81="X",1,IF('Besluit bodemkwaliteit'!I81="@",10,""))</f>
        <v/>
      </c>
      <c r="E58" s="5" t="str">
        <f>IF('Besluit bodemkwaliteit'!J81="X",1,"")</f>
        <v/>
      </c>
      <c r="F58" s="5" t="str">
        <f>IF('Besluit bodemkwaliteit'!K81="X",1,"")</f>
        <v/>
      </c>
      <c r="G58" s="5" t="str">
        <f>IF('Besluit bodemkwaliteit'!L81="X",1,"")</f>
        <v/>
      </c>
      <c r="H58" s="5" t="str">
        <f>IF('Besluit bodemkwaliteit'!M81="X",1,"")</f>
        <v/>
      </c>
      <c r="I58" s="5" t="str">
        <f>IF('Besluit bodemkwaliteit'!N81="X",1,"")</f>
        <v/>
      </c>
      <c r="J58" s="5" t="str">
        <f>IF('Besluit bodemkwaliteit'!O81="X",1,"")</f>
        <v/>
      </c>
      <c r="K58" s="5" t="str">
        <f>IF('Besluit bodemkwaliteit'!P81="X",1,"")</f>
        <v/>
      </c>
      <c r="L58" s="5" t="str">
        <f>IF('Besluit bodemkwaliteit'!Q81="X",1,"")</f>
        <v/>
      </c>
      <c r="M58" s="5" t="str">
        <f>IF('Besluit bodemkwaliteit'!R81="X",1,"")</f>
        <v/>
      </c>
      <c r="N58" s="5" t="str">
        <f>IF('Besluit bodemkwaliteit'!S81="X",1,"")</f>
        <v/>
      </c>
    </row>
    <row r="59" spans="1:14">
      <c r="A59" s="10"/>
      <c r="B59" s="11" t="s">
        <v>43</v>
      </c>
      <c r="C59" s="5" t="str">
        <f>IF('Besluit bodemkwaliteit'!H82="X",1,IF('Besluit bodemkwaliteit'!H82="2x",10,""))</f>
        <v/>
      </c>
      <c r="D59" s="5" t="str">
        <f>IF('Besluit bodemkwaliteit'!I82="X",1,IF('Besluit bodemkwaliteit'!I82="@",10,""))</f>
        <v/>
      </c>
      <c r="E59" s="5" t="str">
        <f>IF('Besluit bodemkwaliteit'!J82="X",1,"")</f>
        <v/>
      </c>
      <c r="F59" s="5" t="str">
        <f>IF('Besluit bodemkwaliteit'!K82="X",1,"")</f>
        <v/>
      </c>
      <c r="G59" s="5" t="str">
        <f>IF('Besluit bodemkwaliteit'!L82="X",1,"")</f>
        <v/>
      </c>
      <c r="H59" s="5" t="str">
        <f>IF('Besluit bodemkwaliteit'!M82="X",1,"")</f>
        <v/>
      </c>
      <c r="I59" s="5" t="str">
        <f>IF('Besluit bodemkwaliteit'!N82="X",1,"")</f>
        <v/>
      </c>
      <c r="J59" s="5" t="str">
        <f>IF('Besluit bodemkwaliteit'!O82="X",1,"")</f>
        <v/>
      </c>
      <c r="K59" s="5" t="str">
        <f>IF('Besluit bodemkwaliteit'!P82="X",1,"")</f>
        <v/>
      </c>
      <c r="L59" s="5" t="str">
        <f>IF('Besluit bodemkwaliteit'!Q82="X",1,"")</f>
        <v/>
      </c>
      <c r="M59" s="5" t="str">
        <f>IF('Besluit bodemkwaliteit'!R82="X",1,"")</f>
        <v/>
      </c>
      <c r="N59" s="5" t="str">
        <f>IF('Besluit bodemkwaliteit'!S82="X",1,"")</f>
        <v/>
      </c>
    </row>
    <row r="60" spans="1:14">
      <c r="A60" s="10"/>
      <c r="B60" s="11" t="s">
        <v>44</v>
      </c>
      <c r="C60" s="5" t="str">
        <f>IF('Besluit bodemkwaliteit'!H83="X",1,IF('Besluit bodemkwaliteit'!H83="2x",10,""))</f>
        <v/>
      </c>
      <c r="D60" s="5" t="str">
        <f>IF('Besluit bodemkwaliteit'!I83="X",1,IF('Besluit bodemkwaliteit'!I83="@",10,""))</f>
        <v/>
      </c>
      <c r="E60" s="5" t="str">
        <f>IF('Besluit bodemkwaliteit'!J83="X",1,"")</f>
        <v/>
      </c>
      <c r="F60" s="5" t="str">
        <f>IF('Besluit bodemkwaliteit'!K83="X",1,"")</f>
        <v/>
      </c>
      <c r="G60" s="5" t="str">
        <f>IF('Besluit bodemkwaliteit'!L83="X",1,"")</f>
        <v/>
      </c>
      <c r="H60" s="5" t="str">
        <f>IF('Besluit bodemkwaliteit'!M83="X",1,"")</f>
        <v/>
      </c>
      <c r="I60" s="5" t="str">
        <f>IF('Besluit bodemkwaliteit'!N83="X",1,"")</f>
        <v/>
      </c>
      <c r="J60" s="5" t="str">
        <f>IF('Besluit bodemkwaliteit'!O83="X",1,"")</f>
        <v/>
      </c>
      <c r="K60" s="5" t="str">
        <f>IF('Besluit bodemkwaliteit'!P83="X",1,"")</f>
        <v/>
      </c>
      <c r="L60" s="5" t="str">
        <f>IF('Besluit bodemkwaliteit'!Q83="X",1,"")</f>
        <v/>
      </c>
      <c r="M60" s="5" t="str">
        <f>IF('Besluit bodemkwaliteit'!R83="X",1,"")</f>
        <v/>
      </c>
      <c r="N60" s="5" t="str">
        <f>IF('Besluit bodemkwaliteit'!S83="X",1,"")</f>
        <v/>
      </c>
    </row>
    <row r="61" spans="1:14">
      <c r="A61" s="10"/>
      <c r="B61" s="11" t="s">
        <v>45</v>
      </c>
      <c r="C61" s="5" t="str">
        <f>IF('Besluit bodemkwaliteit'!H84="X",1,IF('Besluit bodemkwaliteit'!H84="2x",10,""))</f>
        <v/>
      </c>
      <c r="D61" s="5" t="str">
        <f>IF('Besluit bodemkwaliteit'!I84="X",1,IF('Besluit bodemkwaliteit'!I84="@",10,""))</f>
        <v/>
      </c>
      <c r="E61" s="5" t="str">
        <f>IF('Besluit bodemkwaliteit'!J84="X",1,"")</f>
        <v/>
      </c>
      <c r="F61" s="5" t="str">
        <f>IF('Besluit bodemkwaliteit'!K84="X",1,"")</f>
        <v/>
      </c>
      <c r="G61" s="5" t="str">
        <f>IF('Besluit bodemkwaliteit'!L84="X",1,"")</f>
        <v/>
      </c>
      <c r="H61" s="5" t="str">
        <f>IF('Besluit bodemkwaliteit'!M84="X",1,"")</f>
        <v/>
      </c>
      <c r="I61" s="5" t="str">
        <f>IF('Besluit bodemkwaliteit'!N84="X",1,"")</f>
        <v/>
      </c>
      <c r="J61" s="5" t="str">
        <f>IF('Besluit bodemkwaliteit'!O84="X",1,"")</f>
        <v/>
      </c>
      <c r="K61" s="5" t="str">
        <f>IF('Besluit bodemkwaliteit'!P84="X",1,"")</f>
        <v/>
      </c>
      <c r="L61" s="5" t="str">
        <f>IF('Besluit bodemkwaliteit'!Q84="X",1,"")</f>
        <v/>
      </c>
      <c r="M61" s="5" t="str">
        <f>IF('Besluit bodemkwaliteit'!R84="X",1,"")</f>
        <v/>
      </c>
      <c r="N61" s="5" t="str">
        <f>IF('Besluit bodemkwaliteit'!S84="X",1,"")</f>
        <v/>
      </c>
    </row>
    <row r="62" spans="1:14">
      <c r="A62" s="10"/>
      <c r="B62" s="11" t="s">
        <v>46</v>
      </c>
      <c r="C62" s="5" t="str">
        <f>IF('Besluit bodemkwaliteit'!H85="X",1,IF('Besluit bodemkwaliteit'!H85="2x",10,""))</f>
        <v/>
      </c>
      <c r="D62" s="5" t="str">
        <f>IF('Besluit bodemkwaliteit'!I85="X",1,IF('Besluit bodemkwaliteit'!I85="@",10,""))</f>
        <v/>
      </c>
      <c r="E62" s="5" t="str">
        <f>IF('Besluit bodemkwaliteit'!J85="X",1,"")</f>
        <v/>
      </c>
      <c r="F62" s="5" t="str">
        <f>IF('Besluit bodemkwaliteit'!K85="X",1,"")</f>
        <v/>
      </c>
      <c r="G62" s="5" t="str">
        <f>IF('Besluit bodemkwaliteit'!L85="X",1,"")</f>
        <v/>
      </c>
      <c r="H62" s="5" t="str">
        <f>IF('Besluit bodemkwaliteit'!M85="X",1,"")</f>
        <v/>
      </c>
      <c r="I62" s="5" t="str">
        <f>IF('Besluit bodemkwaliteit'!N85="X",1,"")</f>
        <v/>
      </c>
      <c r="J62" s="5" t="str">
        <f>IF('Besluit bodemkwaliteit'!O85="X",1,"")</f>
        <v/>
      </c>
      <c r="K62" s="5" t="str">
        <f>IF('Besluit bodemkwaliteit'!P85="X",1,"")</f>
        <v/>
      </c>
      <c r="L62" s="5" t="str">
        <f>IF('Besluit bodemkwaliteit'!Q85="X",1,"")</f>
        <v/>
      </c>
      <c r="M62" s="5" t="str">
        <f>IF('Besluit bodemkwaliteit'!R85="X",1,"")</f>
        <v/>
      </c>
      <c r="N62" s="5" t="str">
        <f>IF('Besluit bodemkwaliteit'!S85="X",1,"")</f>
        <v/>
      </c>
    </row>
    <row r="63" spans="1:14">
      <c r="A63" s="10"/>
      <c r="B63" s="11" t="s">
        <v>47</v>
      </c>
      <c r="C63" s="5" t="str">
        <f>IF('Besluit bodemkwaliteit'!H86="X",1,IF('Besluit bodemkwaliteit'!H86="2x",10,""))</f>
        <v/>
      </c>
      <c r="D63" s="5" t="str">
        <f>IF('Besluit bodemkwaliteit'!I86="X",1,IF('Besluit bodemkwaliteit'!I86="@",10,""))</f>
        <v/>
      </c>
      <c r="E63" s="5" t="str">
        <f>IF('Besluit bodemkwaliteit'!J86="X",1,"")</f>
        <v/>
      </c>
      <c r="F63" s="5" t="str">
        <f>IF('Besluit bodemkwaliteit'!K86="X",1,"")</f>
        <v/>
      </c>
      <c r="G63" s="5" t="str">
        <f>IF('Besluit bodemkwaliteit'!L86="X",1,"")</f>
        <v/>
      </c>
      <c r="H63" s="5" t="str">
        <f>IF('Besluit bodemkwaliteit'!M86="X",1,"")</f>
        <v/>
      </c>
      <c r="I63" s="5" t="str">
        <f>IF('Besluit bodemkwaliteit'!N86="X",1,"")</f>
        <v/>
      </c>
      <c r="J63" s="5" t="str">
        <f>IF('Besluit bodemkwaliteit'!O86="X",1,"")</f>
        <v/>
      </c>
      <c r="K63" s="5" t="str">
        <f>IF('Besluit bodemkwaliteit'!P86="X",1,"")</f>
        <v/>
      </c>
      <c r="L63" s="5" t="str">
        <f>IF('Besluit bodemkwaliteit'!Q86="X",1,"")</f>
        <v/>
      </c>
      <c r="M63" s="5" t="str">
        <f>IF('Besluit bodemkwaliteit'!R86="X",1,"")</f>
        <v/>
      </c>
      <c r="N63" s="5" t="str">
        <f>IF('Besluit bodemkwaliteit'!S86="X",1,"")</f>
        <v/>
      </c>
    </row>
    <row r="64" spans="1:14">
      <c r="A64" s="10"/>
      <c r="B64" s="11" t="s">
        <v>48</v>
      </c>
      <c r="C64" s="5" t="str">
        <f>IF('Besluit bodemkwaliteit'!H87="X",1,IF('Besluit bodemkwaliteit'!H87="2x",10,""))</f>
        <v/>
      </c>
      <c r="D64" s="5" t="str">
        <f>IF('Besluit bodemkwaliteit'!I87="X",1,IF('Besluit bodemkwaliteit'!I87="@",10,""))</f>
        <v/>
      </c>
      <c r="E64" s="5" t="str">
        <f>IF('Besluit bodemkwaliteit'!J87="X",1,"")</f>
        <v/>
      </c>
      <c r="F64" s="5" t="str">
        <f>IF('Besluit bodemkwaliteit'!K87="X",1,"")</f>
        <v/>
      </c>
      <c r="G64" s="5" t="str">
        <f>IF('Besluit bodemkwaliteit'!L87="X",1,"")</f>
        <v/>
      </c>
      <c r="H64" s="5" t="str">
        <f>IF('Besluit bodemkwaliteit'!M87="X",1,"")</f>
        <v/>
      </c>
      <c r="I64" s="5" t="str">
        <f>IF('Besluit bodemkwaliteit'!N87="X",1,"")</f>
        <v/>
      </c>
      <c r="J64" s="5" t="str">
        <f>IF('Besluit bodemkwaliteit'!O87="X",1,"")</f>
        <v/>
      </c>
      <c r="K64" s="5" t="str">
        <f>IF('Besluit bodemkwaliteit'!P87="X",1,"")</f>
        <v/>
      </c>
      <c r="L64" s="5" t="str">
        <f>IF('Besluit bodemkwaliteit'!Q87="X",1,"")</f>
        <v/>
      </c>
      <c r="M64" s="5" t="str">
        <f>IF('Besluit bodemkwaliteit'!R87="X",1,"")</f>
        <v/>
      </c>
      <c r="N64" s="5" t="str">
        <f>IF('Besluit bodemkwaliteit'!S87="X",1,"")</f>
        <v/>
      </c>
    </row>
    <row r="65" spans="1:14">
      <c r="A65" s="10"/>
      <c r="B65" s="11" t="s">
        <v>49</v>
      </c>
      <c r="C65" s="5" t="str">
        <f>IF('Besluit bodemkwaliteit'!H88="X",1,IF('Besluit bodemkwaliteit'!H88="2x",10,""))</f>
        <v/>
      </c>
      <c r="D65" s="5" t="str">
        <f>IF('Besluit bodemkwaliteit'!I88="X",1,IF('Besluit bodemkwaliteit'!I88="@",10,""))</f>
        <v/>
      </c>
      <c r="E65" s="5" t="str">
        <f>IF('Besluit bodemkwaliteit'!J88="X",1,"")</f>
        <v/>
      </c>
      <c r="F65" s="5" t="str">
        <f>IF('Besluit bodemkwaliteit'!K88="X",1,"")</f>
        <v/>
      </c>
      <c r="G65" s="5" t="str">
        <f>IF('Besluit bodemkwaliteit'!L88="X",1,"")</f>
        <v/>
      </c>
      <c r="H65" s="5" t="str">
        <f>IF('Besluit bodemkwaliteit'!M88="X",1,"")</f>
        <v/>
      </c>
      <c r="I65" s="5" t="str">
        <f>IF('Besluit bodemkwaliteit'!N88="X",1,"")</f>
        <v/>
      </c>
      <c r="J65" s="5" t="str">
        <f>IF('Besluit bodemkwaliteit'!O88="X",1,"")</f>
        <v/>
      </c>
      <c r="K65" s="5" t="str">
        <f>IF('Besluit bodemkwaliteit'!P88="X",1,"")</f>
        <v/>
      </c>
      <c r="L65" s="5" t="str">
        <f>IF('Besluit bodemkwaliteit'!Q88="X",1,"")</f>
        <v/>
      </c>
      <c r="M65" s="5" t="str">
        <f>IF('Besluit bodemkwaliteit'!R88="X",1,"")</f>
        <v/>
      </c>
      <c r="N65" s="5" t="str">
        <f>IF('Besluit bodemkwaliteit'!S88="X",1,"")</f>
        <v/>
      </c>
    </row>
    <row r="66" spans="1:14">
      <c r="A66" s="10"/>
      <c r="B66" s="11" t="s">
        <v>50</v>
      </c>
      <c r="C66" s="5" t="str">
        <f>IF('Besluit bodemkwaliteit'!H89="X",1,IF('Besluit bodemkwaliteit'!H89="2x",10,""))</f>
        <v/>
      </c>
      <c r="D66" s="5" t="str">
        <f>IF('Besluit bodemkwaliteit'!I89="X",1,IF('Besluit bodemkwaliteit'!I89="@",10,""))</f>
        <v/>
      </c>
      <c r="E66" s="5" t="str">
        <f>IF('Besluit bodemkwaliteit'!J89="X",1,"")</f>
        <v/>
      </c>
      <c r="F66" s="5" t="str">
        <f>IF('Besluit bodemkwaliteit'!K89="X",1,"")</f>
        <v/>
      </c>
      <c r="G66" s="5" t="str">
        <f>IF('Besluit bodemkwaliteit'!L89="X",1,"")</f>
        <v/>
      </c>
      <c r="H66" s="5" t="str">
        <f>IF('Besluit bodemkwaliteit'!M89="X",1,"")</f>
        <v/>
      </c>
      <c r="I66" s="5" t="str">
        <f>IF('Besluit bodemkwaliteit'!N89="X",1,"")</f>
        <v/>
      </c>
      <c r="J66" s="5" t="str">
        <f>IF('Besluit bodemkwaliteit'!O89="X",1,"")</f>
        <v/>
      </c>
      <c r="K66" s="5" t="str">
        <f>IF('Besluit bodemkwaliteit'!P89="X",1,"")</f>
        <v/>
      </c>
      <c r="L66" s="5" t="str">
        <f>IF('Besluit bodemkwaliteit'!Q89="X",1,"")</f>
        <v/>
      </c>
      <c r="M66" s="5" t="str">
        <f>IF('Besluit bodemkwaliteit'!R89="X",1,"")</f>
        <v/>
      </c>
      <c r="N66" s="5" t="str">
        <f>IF('Besluit bodemkwaliteit'!S89="X",1,"")</f>
        <v/>
      </c>
    </row>
    <row r="67" spans="1:14">
      <c r="A67" s="10"/>
      <c r="B67" s="11"/>
    </row>
    <row r="68" spans="1:14">
      <c r="A68" s="32">
        <v>5</v>
      </c>
      <c r="B68" s="32" t="s">
        <v>64</v>
      </c>
    </row>
    <row r="69" spans="1:14">
      <c r="A69" s="37" t="s">
        <v>65</v>
      </c>
      <c r="B69" s="38" t="s">
        <v>66</v>
      </c>
    </row>
    <row r="70" spans="1:14">
      <c r="A70" s="10"/>
      <c r="B70" s="11" t="s">
        <v>51</v>
      </c>
      <c r="C70" s="5" t="str">
        <f ca="1">IF('Besluit bodemkwaliteit'!H93="X",1,IF('Besluit bodemkwaliteit'!H93="2x",10,""))</f>
        <v/>
      </c>
      <c r="D70" s="5" t="str">
        <f ca="1">IF('Besluit bodemkwaliteit'!I93="X",1,IF('Besluit bodemkwaliteit'!I93="@",10,""))</f>
        <v/>
      </c>
      <c r="E70" s="5" t="str">
        <f ca="1">IF('Besluit bodemkwaliteit'!J93="X",1,"")</f>
        <v/>
      </c>
      <c r="F70" s="5" t="str">
        <f ca="1">IF('Besluit bodemkwaliteit'!K93="X",1,"")</f>
        <v/>
      </c>
      <c r="G70" s="5" t="str">
        <f ca="1">IF('Besluit bodemkwaliteit'!L93="X",1,"")</f>
        <v/>
      </c>
      <c r="H70" s="5" t="str">
        <f>IF('Besluit bodemkwaliteit'!M93="X",1,"")</f>
        <v/>
      </c>
      <c r="I70" s="5" t="str">
        <f ca="1">IF('Besluit bodemkwaliteit'!N93="X",1,"")</f>
        <v/>
      </c>
      <c r="J70" s="5" t="str">
        <f>IF('Besluit bodemkwaliteit'!O93="X",1,"")</f>
        <v/>
      </c>
      <c r="K70" s="5" t="str">
        <f ca="1">IF('Besluit bodemkwaliteit'!P93="X",1,"")</f>
        <v/>
      </c>
      <c r="L70" s="5" t="str">
        <f ca="1">IF('Besluit bodemkwaliteit'!Q93="X",1,"")</f>
        <v/>
      </c>
      <c r="M70" s="5" t="str">
        <f>IF('Besluit bodemkwaliteit'!R93="X",1,"")</f>
        <v/>
      </c>
      <c r="N70" s="5" t="str">
        <f>IF('Besluit bodemkwaliteit'!S93="X",1,"")</f>
        <v/>
      </c>
    </row>
    <row r="71" spans="1:14">
      <c r="A71" s="10"/>
      <c r="B71" s="11" t="s">
        <v>52</v>
      </c>
      <c r="C71" s="5" t="str">
        <f ca="1">IF('Besluit bodemkwaliteit'!H94="X",1,IF('Besluit bodemkwaliteit'!H94="2x",10,""))</f>
        <v/>
      </c>
      <c r="D71" s="5" t="str">
        <f ca="1">IF('Besluit bodemkwaliteit'!I94="X",1,IF('Besluit bodemkwaliteit'!I94="@",10,""))</f>
        <v/>
      </c>
      <c r="E71" s="5" t="str">
        <f ca="1">IF('Besluit bodemkwaliteit'!J94="X",1,"")</f>
        <v/>
      </c>
      <c r="F71" s="5" t="str">
        <f ca="1">IF('Besluit bodemkwaliteit'!K94="X",1,"")</f>
        <v/>
      </c>
      <c r="G71" s="5" t="str">
        <f ca="1">IF('Besluit bodemkwaliteit'!L94="X",1,"")</f>
        <v/>
      </c>
      <c r="H71" s="5" t="str">
        <f>IF('Besluit bodemkwaliteit'!M94="X",1,"")</f>
        <v/>
      </c>
      <c r="I71" s="5" t="str">
        <f ca="1">IF('Besluit bodemkwaliteit'!N94="X",1,"")</f>
        <v/>
      </c>
      <c r="J71" s="5" t="str">
        <f>IF('Besluit bodemkwaliteit'!O94="X",1,"")</f>
        <v/>
      </c>
      <c r="K71" s="5" t="str">
        <f ca="1">IF('Besluit bodemkwaliteit'!P94="X",1,"")</f>
        <v/>
      </c>
      <c r="L71" s="5" t="str">
        <f ca="1">IF('Besluit bodemkwaliteit'!Q94="X",1,"")</f>
        <v/>
      </c>
      <c r="M71" s="5" t="str">
        <f>IF('Besluit bodemkwaliteit'!R94="X",1,"")</f>
        <v/>
      </c>
      <c r="N71" s="5" t="str">
        <f>IF('Besluit bodemkwaliteit'!S94="X",1,"")</f>
        <v/>
      </c>
    </row>
    <row r="72" spans="1:14">
      <c r="A72" s="10"/>
      <c r="B72" s="11" t="s">
        <v>54</v>
      </c>
      <c r="C72" s="5" t="str">
        <f ca="1">IF('Besluit bodemkwaliteit'!H95="X",1,IF('Besluit bodemkwaliteit'!H95="2x",10,""))</f>
        <v/>
      </c>
      <c r="D72" s="5" t="str">
        <f ca="1">IF('Besluit bodemkwaliteit'!I95="X",1,IF('Besluit bodemkwaliteit'!I95="@",10,""))</f>
        <v/>
      </c>
      <c r="E72" s="5" t="str">
        <f ca="1">IF('Besluit bodemkwaliteit'!J95="X",1,"")</f>
        <v/>
      </c>
      <c r="F72" s="5" t="str">
        <f ca="1">IF('Besluit bodemkwaliteit'!K95="X",1,"")</f>
        <v/>
      </c>
      <c r="G72" s="5" t="str">
        <f ca="1">IF('Besluit bodemkwaliteit'!L95="X",1,"")</f>
        <v/>
      </c>
      <c r="H72" s="5" t="str">
        <f>IF('Besluit bodemkwaliteit'!M95="X",1,"")</f>
        <v/>
      </c>
      <c r="I72" s="5" t="str">
        <f ca="1">IF('Besluit bodemkwaliteit'!N95="X",1,"")</f>
        <v/>
      </c>
      <c r="J72" s="5" t="str">
        <f>IF('Besluit bodemkwaliteit'!O95="X",1,"")</f>
        <v/>
      </c>
      <c r="K72" s="5" t="str">
        <f ca="1">IF('Besluit bodemkwaliteit'!P95="X",1,"")</f>
        <v/>
      </c>
      <c r="L72" s="5" t="str">
        <f ca="1">IF('Besluit bodemkwaliteit'!Q95="X",1,"")</f>
        <v/>
      </c>
      <c r="M72" s="5" t="str">
        <f>IF('Besluit bodemkwaliteit'!R95="X",1,"")</f>
        <v/>
      </c>
      <c r="N72" s="5" t="str">
        <f>IF('Besluit bodemkwaliteit'!S95="X",1,"")</f>
        <v/>
      </c>
    </row>
    <row r="73" spans="1:14">
      <c r="A73" s="10"/>
      <c r="B73" s="11" t="s">
        <v>55</v>
      </c>
      <c r="C73" s="5" t="str">
        <f ca="1">IF('Besluit bodemkwaliteit'!H96="X",1,IF('Besluit bodemkwaliteit'!H96="2x",10,""))</f>
        <v/>
      </c>
      <c r="D73" s="5" t="str">
        <f ca="1">IF('Besluit bodemkwaliteit'!I96="X",1,IF('Besluit bodemkwaliteit'!I96="@",10,""))</f>
        <v/>
      </c>
      <c r="E73" s="5" t="str">
        <f ca="1">IF('Besluit bodemkwaliteit'!J96="X",1,"")</f>
        <v/>
      </c>
      <c r="F73" s="5" t="str">
        <f ca="1">IF('Besluit bodemkwaliteit'!K96="X",1,"")</f>
        <v/>
      </c>
      <c r="G73" s="5" t="str">
        <f ca="1">IF('Besluit bodemkwaliteit'!L96="X",1,"")</f>
        <v/>
      </c>
      <c r="H73" s="5" t="str">
        <f>IF('Besluit bodemkwaliteit'!M96="X",1,"")</f>
        <v/>
      </c>
      <c r="I73" s="5" t="str">
        <f ca="1">IF('Besluit bodemkwaliteit'!N96="X",1,"")</f>
        <v/>
      </c>
      <c r="J73" s="5" t="str">
        <f>IF('Besluit bodemkwaliteit'!O96="X",1,"")</f>
        <v/>
      </c>
      <c r="K73" s="5" t="str">
        <f ca="1">IF('Besluit bodemkwaliteit'!P96="X",1,"")</f>
        <v/>
      </c>
      <c r="L73" s="5" t="str">
        <f ca="1">IF('Besluit bodemkwaliteit'!Q96="X",1,"")</f>
        <v/>
      </c>
      <c r="M73" s="5" t="str">
        <f>IF('Besluit bodemkwaliteit'!R96="X",1,"")</f>
        <v/>
      </c>
      <c r="N73" s="5" t="str">
        <f>IF('Besluit bodemkwaliteit'!S96="X",1,"")</f>
        <v/>
      </c>
    </row>
    <row r="74" spans="1:14">
      <c r="A74" s="10"/>
      <c r="B74" s="11" t="s">
        <v>53</v>
      </c>
      <c r="C74" s="5" t="str">
        <f ca="1">IF('Besluit bodemkwaliteit'!H97="X",1,IF('Besluit bodemkwaliteit'!H97="2x",10,""))</f>
        <v/>
      </c>
      <c r="D74" s="5" t="str">
        <f ca="1">IF('Besluit bodemkwaliteit'!I97="X",1,IF('Besluit bodemkwaliteit'!I97="@",10,""))</f>
        <v/>
      </c>
      <c r="E74" s="5" t="str">
        <f ca="1">IF('Besluit bodemkwaliteit'!J97="X",1,"")</f>
        <v/>
      </c>
      <c r="F74" s="5" t="str">
        <f ca="1">IF('Besluit bodemkwaliteit'!K97="X",1,"")</f>
        <v/>
      </c>
      <c r="G74" s="5" t="str">
        <f ca="1">IF('Besluit bodemkwaliteit'!L97="X",1,"")</f>
        <v/>
      </c>
      <c r="H74" s="5" t="str">
        <f>IF('Besluit bodemkwaliteit'!M97="X",1,"")</f>
        <v/>
      </c>
      <c r="I74" s="5" t="str">
        <f ca="1">IF('Besluit bodemkwaliteit'!N97="X",1,"")</f>
        <v/>
      </c>
      <c r="J74" s="5" t="str">
        <f>IF('Besluit bodemkwaliteit'!O97="X",1,"")</f>
        <v/>
      </c>
      <c r="K74" s="5" t="str">
        <f ca="1">IF('Besluit bodemkwaliteit'!P97="X",1,"")</f>
        <v/>
      </c>
      <c r="L74" s="5" t="str">
        <f ca="1">IF('Besluit bodemkwaliteit'!Q97="X",1,"")</f>
        <v/>
      </c>
      <c r="M74" s="5" t="str">
        <f>IF('Besluit bodemkwaliteit'!R97="X",1,"")</f>
        <v/>
      </c>
      <c r="N74" s="5" t="str">
        <f>IF('Besluit bodemkwaliteit'!S97="X",1,"")</f>
        <v/>
      </c>
    </row>
    <row r="75" spans="1:14">
      <c r="A75" s="10"/>
      <c r="B75" s="11" t="s">
        <v>56</v>
      </c>
      <c r="C75" s="5" t="str">
        <f ca="1">IF('Besluit bodemkwaliteit'!H98="X",1,IF('Besluit bodemkwaliteit'!H98="2x",10,""))</f>
        <v/>
      </c>
      <c r="D75" s="5" t="str">
        <f ca="1">IF('Besluit bodemkwaliteit'!I98="X",1,IF('Besluit bodemkwaliteit'!I98="@",10,""))</f>
        <v/>
      </c>
      <c r="E75" s="5" t="str">
        <f ca="1">IF('Besluit bodemkwaliteit'!J98="X",1,"")</f>
        <v/>
      </c>
      <c r="F75" s="5" t="str">
        <f ca="1">IF('Besluit bodemkwaliteit'!K98="X",1,"")</f>
        <v/>
      </c>
      <c r="G75" s="5" t="str">
        <f ca="1">IF('Besluit bodemkwaliteit'!L98="X",1,"")</f>
        <v/>
      </c>
      <c r="H75" s="5" t="str">
        <f>IF('Besluit bodemkwaliteit'!M98="X",1,"")</f>
        <v/>
      </c>
      <c r="I75" s="5" t="str">
        <f ca="1">IF('Besluit bodemkwaliteit'!N98="X",1,"")</f>
        <v/>
      </c>
      <c r="J75" s="5" t="str">
        <f>IF('Besluit bodemkwaliteit'!O98="X",1,"")</f>
        <v/>
      </c>
      <c r="K75" s="5" t="str">
        <f ca="1">IF('Besluit bodemkwaliteit'!P98="X",1,"")</f>
        <v/>
      </c>
      <c r="L75" s="5" t="str">
        <f ca="1">IF('Besluit bodemkwaliteit'!Q98="X",1,"")</f>
        <v/>
      </c>
      <c r="M75" s="5" t="str">
        <f>IF('Besluit bodemkwaliteit'!R98="X",1,"")</f>
        <v/>
      </c>
      <c r="N75" s="5" t="str">
        <f>IF('Besluit bodemkwaliteit'!S98="X",1,"")</f>
        <v/>
      </c>
    </row>
    <row r="76" spans="1:14">
      <c r="A76" s="10"/>
      <c r="B76" s="11" t="s">
        <v>264</v>
      </c>
      <c r="C76" s="5" t="str">
        <f ca="1">IF('Besluit bodemkwaliteit'!H99="X",1,IF('Besluit bodemkwaliteit'!H99="2x",10,""))</f>
        <v/>
      </c>
      <c r="D76" s="5" t="str">
        <f ca="1">IF('Besluit bodemkwaliteit'!I99="X",1,IF('Besluit bodemkwaliteit'!I99="@",10,""))</f>
        <v/>
      </c>
      <c r="E76" s="5" t="str">
        <f ca="1">IF('Besluit bodemkwaliteit'!J99="X",1,"")</f>
        <v/>
      </c>
      <c r="F76" s="5" t="str">
        <f ca="1">IF('Besluit bodemkwaliteit'!K99="X",1,"")</f>
        <v/>
      </c>
      <c r="G76" s="5" t="str">
        <f ca="1">IF('Besluit bodemkwaliteit'!L99="X",1,"")</f>
        <v/>
      </c>
      <c r="H76" s="5" t="str">
        <f>IF('Besluit bodemkwaliteit'!M99="X",1,"")</f>
        <v/>
      </c>
      <c r="I76" s="5" t="str">
        <f ca="1">IF('Besluit bodemkwaliteit'!N99="X",1,"")</f>
        <v/>
      </c>
      <c r="J76" s="5" t="str">
        <f>IF('Besluit bodemkwaliteit'!O99="X",1,"")</f>
        <v/>
      </c>
      <c r="K76" s="5" t="str">
        <f ca="1">IF('Besluit bodemkwaliteit'!P99="X",1,"")</f>
        <v/>
      </c>
      <c r="L76" s="5" t="str">
        <f ca="1">IF('Besluit bodemkwaliteit'!Q99="X",1,"")</f>
        <v/>
      </c>
      <c r="M76" s="5" t="str">
        <f>IF('Besluit bodemkwaliteit'!R99="X",1,"")</f>
        <v/>
      </c>
      <c r="N76" s="5" t="str">
        <f>IF('Besluit bodemkwaliteit'!S99="X",1,"")</f>
        <v/>
      </c>
    </row>
    <row r="77" spans="1:14">
      <c r="A77" s="10"/>
      <c r="B77" s="11" t="s">
        <v>58</v>
      </c>
      <c r="C77" s="5" t="str">
        <f ca="1">IF('Besluit bodemkwaliteit'!H100="X",1,IF('Besluit bodemkwaliteit'!H100="2x",10,""))</f>
        <v/>
      </c>
      <c r="D77" s="5" t="str">
        <f ca="1">IF('Besluit bodemkwaliteit'!I100="X",1,IF('Besluit bodemkwaliteit'!I100="@",10,""))</f>
        <v/>
      </c>
      <c r="E77" s="5" t="str">
        <f ca="1">IF('Besluit bodemkwaliteit'!J100="X",1,"")</f>
        <v/>
      </c>
      <c r="F77" s="5" t="str">
        <f ca="1">IF('Besluit bodemkwaliteit'!K100="X",1,"")</f>
        <v/>
      </c>
      <c r="G77" s="5" t="str">
        <f ca="1">IF('Besluit bodemkwaliteit'!L100="X",1,"")</f>
        <v/>
      </c>
      <c r="H77" s="5" t="str">
        <f>IF('Besluit bodemkwaliteit'!M100="X",1,"")</f>
        <v/>
      </c>
      <c r="I77" s="5" t="str">
        <f ca="1">IF('Besluit bodemkwaliteit'!N100="X",1,"")</f>
        <v/>
      </c>
      <c r="J77" s="5" t="str">
        <f>IF('Besluit bodemkwaliteit'!O100="X",1,"")</f>
        <v/>
      </c>
      <c r="K77" s="5" t="str">
        <f ca="1">IF('Besluit bodemkwaliteit'!P100="X",1,"")</f>
        <v/>
      </c>
      <c r="L77" s="5" t="str">
        <f ca="1">IF('Besluit bodemkwaliteit'!Q100="X",1,"")</f>
        <v/>
      </c>
      <c r="M77" s="5" t="str">
        <f>IF('Besluit bodemkwaliteit'!R100="X",1,"")</f>
        <v/>
      </c>
      <c r="N77" s="5" t="str">
        <f>IF('Besluit bodemkwaliteit'!S100="X",1,"")</f>
        <v/>
      </c>
    </row>
    <row r="78" spans="1:14">
      <c r="A78" s="10"/>
      <c r="B78" s="11" t="s">
        <v>59</v>
      </c>
      <c r="C78" s="5" t="str">
        <f ca="1">IF('Besluit bodemkwaliteit'!H101="X",1,IF('Besluit bodemkwaliteit'!H101="2x",10,""))</f>
        <v/>
      </c>
      <c r="D78" s="5" t="str">
        <f ca="1">IF('Besluit bodemkwaliteit'!I101="X",1,IF('Besluit bodemkwaliteit'!I101="@",10,""))</f>
        <v/>
      </c>
      <c r="E78" s="5" t="str">
        <f ca="1">IF('Besluit bodemkwaliteit'!J101="X",1,"")</f>
        <v/>
      </c>
      <c r="F78" s="5" t="str">
        <f ca="1">IF('Besluit bodemkwaliteit'!K101="X",1,"")</f>
        <v/>
      </c>
      <c r="G78" s="5" t="str">
        <f ca="1">IF('Besluit bodemkwaliteit'!L101="X",1,"")</f>
        <v/>
      </c>
      <c r="H78" s="5" t="str">
        <f>IF('Besluit bodemkwaliteit'!M101="X",1,"")</f>
        <v/>
      </c>
      <c r="I78" s="5" t="str">
        <f ca="1">IF('Besluit bodemkwaliteit'!N101="X",1,"")</f>
        <v/>
      </c>
      <c r="J78" s="5" t="str">
        <f>IF('Besluit bodemkwaliteit'!O101="X",1,"")</f>
        <v/>
      </c>
      <c r="K78" s="5" t="str">
        <f ca="1">IF('Besluit bodemkwaliteit'!P101="X",1,"")</f>
        <v/>
      </c>
      <c r="L78" s="5" t="str">
        <f ca="1">IF('Besluit bodemkwaliteit'!Q101="X",1,"")</f>
        <v/>
      </c>
      <c r="M78" s="5" t="str">
        <f>IF('Besluit bodemkwaliteit'!R101="X",1,"")</f>
        <v/>
      </c>
      <c r="N78" s="5" t="str">
        <f>IF('Besluit bodemkwaliteit'!S101="X",1,"")</f>
        <v/>
      </c>
    </row>
    <row r="79" spans="1:14">
      <c r="A79" s="10"/>
      <c r="B79" s="11" t="s">
        <v>60</v>
      </c>
      <c r="C79" s="5" t="str">
        <f ca="1">IF('Besluit bodemkwaliteit'!H102="X",1,IF('Besluit bodemkwaliteit'!H102="2x",10,""))</f>
        <v/>
      </c>
      <c r="D79" s="5" t="str">
        <f ca="1">IF('Besluit bodemkwaliteit'!I102="X",1,IF('Besluit bodemkwaliteit'!I102="@",10,""))</f>
        <v/>
      </c>
      <c r="E79" s="5" t="str">
        <f ca="1">IF('Besluit bodemkwaliteit'!J102="X",1,"")</f>
        <v/>
      </c>
      <c r="F79" s="5" t="str">
        <f ca="1">IF('Besluit bodemkwaliteit'!K102="X",1,"")</f>
        <v/>
      </c>
      <c r="G79" s="5" t="str">
        <f ca="1">IF('Besluit bodemkwaliteit'!L102="X",1,"")</f>
        <v/>
      </c>
      <c r="H79" s="5" t="str">
        <f>IF('Besluit bodemkwaliteit'!M102="X",1,"")</f>
        <v/>
      </c>
      <c r="I79" s="5" t="str">
        <f ca="1">IF('Besluit bodemkwaliteit'!N102="X",1,"")</f>
        <v/>
      </c>
      <c r="J79" s="5" t="str">
        <f>IF('Besluit bodemkwaliteit'!O102="X",1,"")</f>
        <v/>
      </c>
      <c r="K79" s="5" t="str">
        <f ca="1">IF('Besluit bodemkwaliteit'!P102="X",1,"")</f>
        <v/>
      </c>
      <c r="L79" s="5" t="str">
        <f ca="1">IF('Besluit bodemkwaliteit'!Q102="X",1,"")</f>
        <v/>
      </c>
      <c r="M79" s="5" t="str">
        <f>IF('Besluit bodemkwaliteit'!R102="X",1,"")</f>
        <v/>
      </c>
      <c r="N79" s="5" t="str">
        <f>IF('Besluit bodemkwaliteit'!S102="X",1,"")</f>
        <v/>
      </c>
    </row>
    <row r="80" spans="1:14">
      <c r="A80" s="10"/>
      <c r="B80" s="11" t="s">
        <v>61</v>
      </c>
      <c r="C80" s="5" t="str">
        <f ca="1">IF('Besluit bodemkwaliteit'!H103="X",1,IF('Besluit bodemkwaliteit'!H103="2x",10,""))</f>
        <v/>
      </c>
      <c r="D80" s="5" t="str">
        <f ca="1">IF('Besluit bodemkwaliteit'!I103="X",1,IF('Besluit bodemkwaliteit'!I103="@",10,""))</f>
        <v/>
      </c>
      <c r="E80" s="5" t="str">
        <f ca="1">IF('Besluit bodemkwaliteit'!J103="X",1,"")</f>
        <v/>
      </c>
      <c r="F80" s="5" t="str">
        <f ca="1">IF('Besluit bodemkwaliteit'!K103="X",1,"")</f>
        <v/>
      </c>
      <c r="G80" s="5" t="str">
        <f ca="1">IF('Besluit bodemkwaliteit'!L103="X",1,"")</f>
        <v/>
      </c>
      <c r="H80" s="5" t="str">
        <f>IF('Besluit bodemkwaliteit'!M103="X",1,"")</f>
        <v/>
      </c>
      <c r="I80" s="5" t="str">
        <f ca="1">IF('Besluit bodemkwaliteit'!N103="X",1,"")</f>
        <v/>
      </c>
      <c r="J80" s="5" t="str">
        <f>IF('Besluit bodemkwaliteit'!O103="X",1,"")</f>
        <v/>
      </c>
      <c r="K80" s="5" t="str">
        <f ca="1">IF('Besluit bodemkwaliteit'!P103="X",1,"")</f>
        <v/>
      </c>
      <c r="L80" s="5" t="str">
        <f ca="1">IF('Besluit bodemkwaliteit'!Q103="X",1,"")</f>
        <v/>
      </c>
      <c r="M80" s="5" t="str">
        <f>IF('Besluit bodemkwaliteit'!R103="X",1,"")</f>
        <v/>
      </c>
      <c r="N80" s="5" t="str">
        <f>IF('Besluit bodemkwaliteit'!S103="X",1,"")</f>
        <v/>
      </c>
    </row>
    <row r="81" spans="1:14">
      <c r="A81" s="10"/>
      <c r="B81" s="11" t="s">
        <v>62</v>
      </c>
      <c r="C81" s="5" t="str">
        <f ca="1">IF('Besluit bodemkwaliteit'!H104="X",1,IF('Besluit bodemkwaliteit'!H104="2x",10,""))</f>
        <v/>
      </c>
      <c r="D81" s="5" t="str">
        <f ca="1">IF('Besluit bodemkwaliteit'!I104="X",1,IF('Besluit bodemkwaliteit'!I104="@",10,""))</f>
        <v/>
      </c>
      <c r="E81" s="5" t="str">
        <f ca="1">IF('Besluit bodemkwaliteit'!J104="X",1,"")</f>
        <v/>
      </c>
      <c r="F81" s="5" t="str">
        <f ca="1">IF('Besluit bodemkwaliteit'!K104="X",1,"")</f>
        <v/>
      </c>
      <c r="G81" s="5" t="str">
        <f ca="1">IF('Besluit bodemkwaliteit'!L104="X",1,"")</f>
        <v/>
      </c>
      <c r="H81" s="5" t="str">
        <f>IF('Besluit bodemkwaliteit'!M104="X",1,"")</f>
        <v/>
      </c>
      <c r="I81" s="5" t="str">
        <f ca="1">IF('Besluit bodemkwaliteit'!N104="X",1,"")</f>
        <v/>
      </c>
      <c r="J81" s="5" t="str">
        <f>IF('Besluit bodemkwaliteit'!O104="X",1,"")</f>
        <v/>
      </c>
      <c r="K81" s="5" t="str">
        <f ca="1">IF('Besluit bodemkwaliteit'!P104="X",1,"")</f>
        <v/>
      </c>
      <c r="L81" s="5" t="str">
        <f ca="1">IF('Besluit bodemkwaliteit'!Q104="X",1,"")</f>
        <v/>
      </c>
      <c r="M81" s="5" t="str">
        <f>IF('Besluit bodemkwaliteit'!R104="X",1,"")</f>
        <v/>
      </c>
      <c r="N81" s="5" t="str">
        <f>IF('Besluit bodemkwaliteit'!S104="X",1,"")</f>
        <v/>
      </c>
    </row>
    <row r="82" spans="1:14">
      <c r="A82" s="10"/>
      <c r="B82" s="11" t="s">
        <v>63</v>
      </c>
      <c r="C82" s="5" t="str">
        <f ca="1">IF('Besluit bodemkwaliteit'!H105="X",1,IF('Besluit bodemkwaliteit'!H105="2x",10,""))</f>
        <v/>
      </c>
      <c r="D82" s="5" t="str">
        <f ca="1">IF('Besluit bodemkwaliteit'!I105="X",1,IF('Besluit bodemkwaliteit'!I105="@",10,""))</f>
        <v/>
      </c>
      <c r="E82" s="5" t="str">
        <f ca="1">IF('Besluit bodemkwaliteit'!J105="X",1,"")</f>
        <v/>
      </c>
      <c r="F82" s="5" t="str">
        <f ca="1">IF('Besluit bodemkwaliteit'!K105="X",1,"")</f>
        <v/>
      </c>
      <c r="G82" s="5" t="str">
        <f ca="1">IF('Besluit bodemkwaliteit'!L105="X",1,"")</f>
        <v/>
      </c>
      <c r="H82" s="5" t="str">
        <f>IF('Besluit bodemkwaliteit'!M105="X",1,"")</f>
        <v/>
      </c>
      <c r="I82" s="5" t="str">
        <f ca="1">IF('Besluit bodemkwaliteit'!N105="X",1,"")</f>
        <v/>
      </c>
      <c r="J82" s="5" t="str">
        <f>IF('Besluit bodemkwaliteit'!O105="X",1,"")</f>
        <v/>
      </c>
      <c r="K82" s="5" t="str">
        <f ca="1">IF('Besluit bodemkwaliteit'!P105="X",1,"")</f>
        <v/>
      </c>
      <c r="L82" s="5" t="str">
        <f ca="1">IF('Besluit bodemkwaliteit'!Q105="X",1,"")</f>
        <v/>
      </c>
      <c r="M82" s="5" t="str">
        <f>IF('Besluit bodemkwaliteit'!R105="X",1,"")</f>
        <v/>
      </c>
      <c r="N82" s="5" t="str">
        <f>IF('Besluit bodemkwaliteit'!S105="X",1,"")</f>
        <v/>
      </c>
    </row>
    <row r="83" spans="1:14">
      <c r="A83" s="10"/>
      <c r="B83" s="11"/>
    </row>
    <row r="84" spans="1:14">
      <c r="A84" s="10" t="s">
        <v>67</v>
      </c>
      <c r="B84" s="35" t="s">
        <v>78</v>
      </c>
    </row>
    <row r="85" spans="1:14">
      <c r="A85" s="10"/>
      <c r="B85" s="39" t="s">
        <v>209</v>
      </c>
      <c r="C85" s="5" t="str">
        <f>IF('Besluit bodemkwaliteit'!H108="X",1,IF('Besluit bodemkwaliteit'!H108="2x",10,""))</f>
        <v/>
      </c>
      <c r="D85" s="5" t="str">
        <f>IF('Besluit bodemkwaliteit'!I108="X",1,IF('Besluit bodemkwaliteit'!I108="@",10,""))</f>
        <v/>
      </c>
      <c r="E85" s="5" t="str">
        <f>IF('Besluit bodemkwaliteit'!J108="X",1,"")</f>
        <v/>
      </c>
      <c r="F85" s="5" t="str">
        <f>IF('Besluit bodemkwaliteit'!K108="X",1,"")</f>
        <v/>
      </c>
      <c r="G85" s="5" t="str">
        <f>IF('Besluit bodemkwaliteit'!L108="X",1,"")</f>
        <v/>
      </c>
      <c r="H85" s="5" t="str">
        <f>IF('Besluit bodemkwaliteit'!M108="X",1,"")</f>
        <v/>
      </c>
      <c r="I85" s="5" t="str">
        <f>IF('Besluit bodemkwaliteit'!N108="X",1,"")</f>
        <v/>
      </c>
      <c r="J85" s="5" t="str">
        <f>IF('Besluit bodemkwaliteit'!O108="X",1,"")</f>
        <v/>
      </c>
      <c r="K85" s="5" t="str">
        <f>IF('Besluit bodemkwaliteit'!P108="X",1,"")</f>
        <v/>
      </c>
      <c r="L85" s="5" t="str">
        <f>IF('Besluit bodemkwaliteit'!Q108="X",1,"")</f>
        <v/>
      </c>
      <c r="M85" s="5" t="str">
        <f>IF('Besluit bodemkwaliteit'!R108="X",1,"")</f>
        <v/>
      </c>
      <c r="N85" s="5" t="str">
        <f>IF('Besluit bodemkwaliteit'!S108="X",1,"")</f>
        <v/>
      </c>
    </row>
    <row r="86" spans="1:14">
      <c r="A86" s="10"/>
      <c r="B86" s="39" t="s">
        <v>210</v>
      </c>
      <c r="C86" s="5" t="str">
        <f>IF('Besluit bodemkwaliteit'!H109="X",1,IF('Besluit bodemkwaliteit'!H109="2x",10,""))</f>
        <v/>
      </c>
      <c r="D86" s="5" t="str">
        <f>IF('Besluit bodemkwaliteit'!I109="X",1,IF('Besluit bodemkwaliteit'!I109="@",10,""))</f>
        <v/>
      </c>
      <c r="E86" s="5" t="str">
        <f>IF('Besluit bodemkwaliteit'!J109="X",1,"")</f>
        <v/>
      </c>
      <c r="F86" s="5" t="str">
        <f>IF('Besluit bodemkwaliteit'!K109="X",1,"")</f>
        <v/>
      </c>
      <c r="G86" s="5" t="str">
        <f>IF('Besluit bodemkwaliteit'!L109="X",1,"")</f>
        <v/>
      </c>
      <c r="H86" s="5" t="str">
        <f>IF('Besluit bodemkwaliteit'!M109="X",1,"")</f>
        <v/>
      </c>
      <c r="I86" s="5" t="str">
        <f>IF('Besluit bodemkwaliteit'!N109="X",1,"")</f>
        <v/>
      </c>
      <c r="J86" s="5" t="str">
        <f>IF('Besluit bodemkwaliteit'!O109="X",1,"")</f>
        <v/>
      </c>
      <c r="K86" s="5" t="str">
        <f>IF('Besluit bodemkwaliteit'!P109="X",1,"")</f>
        <v/>
      </c>
      <c r="L86" s="5" t="str">
        <f>IF('Besluit bodemkwaliteit'!Q109="X",1,"")</f>
        <v/>
      </c>
      <c r="M86" s="5" t="str">
        <f>IF('Besluit bodemkwaliteit'!R109="X",1,"")</f>
        <v/>
      </c>
      <c r="N86" s="5" t="str">
        <f>IF('Besluit bodemkwaliteit'!S109="X",1,"")</f>
        <v/>
      </c>
    </row>
    <row r="87" spans="1:14">
      <c r="A87" s="10"/>
      <c r="B87" s="11" t="s">
        <v>68</v>
      </c>
      <c r="C87" s="5" t="str">
        <f>IF('Besluit bodemkwaliteit'!H110="X",1,IF('Besluit bodemkwaliteit'!H110="2x",10,""))</f>
        <v/>
      </c>
      <c r="D87" s="5" t="str">
        <f>IF('Besluit bodemkwaliteit'!I110="X",1,IF('Besluit bodemkwaliteit'!I110="@",10,""))</f>
        <v/>
      </c>
      <c r="E87" s="5" t="str">
        <f>IF('Besluit bodemkwaliteit'!J110="X",1,"")</f>
        <v/>
      </c>
      <c r="F87" s="5" t="str">
        <f>IF('Besluit bodemkwaliteit'!K110="X",1,"")</f>
        <v/>
      </c>
      <c r="G87" s="5" t="str">
        <f>IF('Besluit bodemkwaliteit'!L110="X",1,"")</f>
        <v/>
      </c>
      <c r="H87" s="5" t="str">
        <f>IF('Besluit bodemkwaliteit'!M110="X",1,"")</f>
        <v/>
      </c>
      <c r="I87" s="5" t="str">
        <f>IF('Besluit bodemkwaliteit'!N110="X",1,"")</f>
        <v/>
      </c>
      <c r="J87" s="5" t="str">
        <f>IF('Besluit bodemkwaliteit'!O110="X",1,"")</f>
        <v/>
      </c>
      <c r="K87" s="5" t="str">
        <f>IF('Besluit bodemkwaliteit'!P110="X",1,"")</f>
        <v/>
      </c>
      <c r="L87" s="5" t="str">
        <f>IF('Besluit bodemkwaliteit'!Q110="X",1,"")</f>
        <v/>
      </c>
      <c r="M87" s="5" t="str">
        <f>IF('Besluit bodemkwaliteit'!R110="X",1,"")</f>
        <v/>
      </c>
      <c r="N87" s="5" t="str">
        <f>IF('Besluit bodemkwaliteit'!S110="X",1,"")</f>
        <v/>
      </c>
    </row>
    <row r="88" spans="1:14">
      <c r="A88" s="10"/>
      <c r="B88" s="11" t="s">
        <v>178</v>
      </c>
      <c r="C88" s="5" t="str">
        <f>IF('Besluit bodemkwaliteit'!H111="X",1,IF('Besluit bodemkwaliteit'!H111="2x",10,""))</f>
        <v/>
      </c>
      <c r="D88" s="5" t="str">
        <f>IF('Besluit bodemkwaliteit'!I111="X",1,IF('Besluit bodemkwaliteit'!I111="@",10,""))</f>
        <v/>
      </c>
      <c r="E88" s="5" t="str">
        <f>IF('Besluit bodemkwaliteit'!J111="X",1,"")</f>
        <v/>
      </c>
      <c r="F88" s="5" t="str">
        <f>IF('Besluit bodemkwaliteit'!K111="X",1,"")</f>
        <v/>
      </c>
      <c r="G88" s="5" t="str">
        <f>IF('Besluit bodemkwaliteit'!L111="X",1,"")</f>
        <v/>
      </c>
      <c r="H88" s="5" t="str">
        <f>IF('Besluit bodemkwaliteit'!M111="X",1,"")</f>
        <v/>
      </c>
      <c r="I88" s="5" t="str">
        <f>IF('Besluit bodemkwaliteit'!N111="X",1,"")</f>
        <v/>
      </c>
      <c r="J88" s="5" t="str">
        <f>IF('Besluit bodemkwaliteit'!O111="X",1,"")</f>
        <v/>
      </c>
      <c r="K88" s="5" t="str">
        <f>IF('Besluit bodemkwaliteit'!P111="X",1,"")</f>
        <v/>
      </c>
      <c r="L88" s="5" t="str">
        <f>IF('Besluit bodemkwaliteit'!Q111="X",1,"")</f>
        <v/>
      </c>
      <c r="M88" s="5" t="str">
        <f>IF('Besluit bodemkwaliteit'!R111="X",1,"")</f>
        <v/>
      </c>
      <c r="N88" s="5" t="str">
        <f>IF('Besluit bodemkwaliteit'!S111="X",1,"")</f>
        <v/>
      </c>
    </row>
    <row r="89" spans="1:14">
      <c r="A89" s="10"/>
      <c r="B89" s="11" t="s">
        <v>69</v>
      </c>
      <c r="C89" s="5" t="str">
        <f>IF('Besluit bodemkwaliteit'!H112="X",1,IF('Besluit bodemkwaliteit'!H112="2x",10,""))</f>
        <v/>
      </c>
      <c r="D89" s="5" t="str">
        <f>IF('Besluit bodemkwaliteit'!I112="X",1,IF('Besluit bodemkwaliteit'!I112="@",10,""))</f>
        <v/>
      </c>
      <c r="E89" s="5" t="str">
        <f>IF('Besluit bodemkwaliteit'!J112="X",1,"")</f>
        <v/>
      </c>
      <c r="F89" s="5" t="str">
        <f>IF('Besluit bodemkwaliteit'!K112="X",1,"")</f>
        <v/>
      </c>
      <c r="G89" s="5" t="str">
        <f>IF('Besluit bodemkwaliteit'!L112="X",1,"")</f>
        <v/>
      </c>
      <c r="H89" s="5" t="str">
        <f>IF('Besluit bodemkwaliteit'!M112="X",1,"")</f>
        <v/>
      </c>
      <c r="I89" s="5" t="str">
        <f>IF('Besluit bodemkwaliteit'!N112="X",1,"")</f>
        <v/>
      </c>
      <c r="J89" s="5" t="str">
        <f>IF('Besluit bodemkwaliteit'!O112="X",1,"")</f>
        <v/>
      </c>
      <c r="K89" s="5" t="str">
        <f>IF('Besluit bodemkwaliteit'!P112="X",1,"")</f>
        <v/>
      </c>
      <c r="L89" s="5" t="str">
        <f>IF('Besluit bodemkwaliteit'!Q112="X",1,"")</f>
        <v/>
      </c>
      <c r="M89" s="5" t="str">
        <f>IF('Besluit bodemkwaliteit'!R112="X",1,"")</f>
        <v/>
      </c>
      <c r="N89" s="5" t="str">
        <f>IF('Besluit bodemkwaliteit'!S112="X",1,"")</f>
        <v/>
      </c>
    </row>
    <row r="90" spans="1:14">
      <c r="A90" s="10"/>
      <c r="B90" s="11" t="s">
        <v>186</v>
      </c>
      <c r="C90" s="5" t="str">
        <f>IF('Besluit bodemkwaliteit'!H113="X",1,IF('Besluit bodemkwaliteit'!H113="2x",10,""))</f>
        <v/>
      </c>
      <c r="D90" s="5" t="str">
        <f>IF('Besluit bodemkwaliteit'!I113="X",1,IF('Besluit bodemkwaliteit'!I113="@",10,""))</f>
        <v/>
      </c>
      <c r="E90" s="5" t="str">
        <f>IF('Besluit bodemkwaliteit'!J113="X",1,"")</f>
        <v/>
      </c>
      <c r="F90" s="5" t="str">
        <f>IF('Besluit bodemkwaliteit'!K113="X",1,"")</f>
        <v/>
      </c>
      <c r="G90" s="5" t="str">
        <f>IF('Besluit bodemkwaliteit'!L113="X",1,"")</f>
        <v/>
      </c>
      <c r="H90" s="5" t="str">
        <f>IF('Besluit bodemkwaliteit'!M113="X",1,"")</f>
        <v/>
      </c>
      <c r="I90" s="5" t="str">
        <f>IF('Besluit bodemkwaliteit'!N113="X",1,"")</f>
        <v/>
      </c>
      <c r="J90" s="5" t="str">
        <f>IF('Besluit bodemkwaliteit'!O113="X",1,"")</f>
        <v/>
      </c>
      <c r="K90" s="5" t="str">
        <f>IF('Besluit bodemkwaliteit'!P113="X",1,"")</f>
        <v/>
      </c>
      <c r="L90" s="5" t="str">
        <f>IF('Besluit bodemkwaliteit'!Q113="X",1,"")</f>
        <v/>
      </c>
      <c r="M90" s="5" t="str">
        <f>IF('Besluit bodemkwaliteit'!R113="X",1,"")</f>
        <v/>
      </c>
      <c r="N90" s="5" t="str">
        <f>IF('Besluit bodemkwaliteit'!S113="X",1,"")</f>
        <v/>
      </c>
    </row>
    <row r="91" spans="1:14">
      <c r="A91" s="10"/>
      <c r="B91" s="11" t="s">
        <v>70</v>
      </c>
      <c r="C91" s="5" t="str">
        <f>IF('Besluit bodemkwaliteit'!H114="X",1,IF('Besluit bodemkwaliteit'!H114="2x",10,""))</f>
        <v/>
      </c>
      <c r="D91" s="5" t="str">
        <f>IF('Besluit bodemkwaliteit'!I114="X",1,IF('Besluit bodemkwaliteit'!I114="@",10,""))</f>
        <v/>
      </c>
      <c r="E91" s="5" t="str">
        <f>IF('Besluit bodemkwaliteit'!J114="X",1,"")</f>
        <v/>
      </c>
      <c r="F91" s="5" t="str">
        <f>IF('Besluit bodemkwaliteit'!K114="X",1,"")</f>
        <v/>
      </c>
      <c r="G91" s="5" t="str">
        <f>IF('Besluit bodemkwaliteit'!L114="X",1,"")</f>
        <v/>
      </c>
      <c r="H91" s="5" t="str">
        <f>IF('Besluit bodemkwaliteit'!M114="X",1,"")</f>
        <v/>
      </c>
      <c r="I91" s="5" t="str">
        <f>IF('Besluit bodemkwaliteit'!N114="X",1,"")</f>
        <v/>
      </c>
      <c r="J91" s="5" t="str">
        <f>IF('Besluit bodemkwaliteit'!O114="X",1,"")</f>
        <v/>
      </c>
      <c r="K91" s="5" t="str">
        <f>IF('Besluit bodemkwaliteit'!P114="X",1,"")</f>
        <v/>
      </c>
      <c r="L91" s="5" t="str">
        <f>IF('Besluit bodemkwaliteit'!Q114="X",1,"")</f>
        <v/>
      </c>
      <c r="M91" s="5" t="str">
        <f>IF('Besluit bodemkwaliteit'!R114="X",1,"")</f>
        <v/>
      </c>
      <c r="N91" s="5" t="str">
        <f>IF('Besluit bodemkwaliteit'!S114="X",1,"")</f>
        <v/>
      </c>
    </row>
    <row r="92" spans="1:14">
      <c r="A92" s="10"/>
      <c r="B92" s="11"/>
    </row>
    <row r="93" spans="1:14">
      <c r="A93" s="10" t="s">
        <v>72</v>
      </c>
      <c r="B93" s="35" t="s">
        <v>71</v>
      </c>
    </row>
    <row r="94" spans="1:14">
      <c r="A94" s="10"/>
      <c r="B94" s="11" t="s">
        <v>211</v>
      </c>
      <c r="C94" s="5" t="str">
        <f>IF('Besluit bodemkwaliteit'!H117="X",1,IF('Besluit bodemkwaliteit'!H117="2x",10,""))</f>
        <v/>
      </c>
      <c r="D94" s="5" t="str">
        <f>IF('Besluit bodemkwaliteit'!I117="X",1,IF('Besluit bodemkwaliteit'!I117="@",10,""))</f>
        <v/>
      </c>
      <c r="E94" s="5" t="str">
        <f>IF('Besluit bodemkwaliteit'!J117="X",1,"")</f>
        <v/>
      </c>
      <c r="F94" s="5" t="str">
        <f>IF('Besluit bodemkwaliteit'!K117="X",1,"")</f>
        <v/>
      </c>
      <c r="G94" s="5" t="str">
        <f>IF('Besluit bodemkwaliteit'!L117="X",1,"")</f>
        <v/>
      </c>
      <c r="H94" s="5" t="str">
        <f>IF('Besluit bodemkwaliteit'!M117="X",1,"")</f>
        <v/>
      </c>
      <c r="I94" s="5" t="str">
        <f>IF('Besluit bodemkwaliteit'!N117="X",1,"")</f>
        <v/>
      </c>
      <c r="J94" s="5" t="str">
        <f>IF('Besluit bodemkwaliteit'!O117="X",1,"")</f>
        <v/>
      </c>
      <c r="K94" s="5" t="str">
        <f>IF('Besluit bodemkwaliteit'!P117="X",1,"")</f>
        <v/>
      </c>
      <c r="L94" s="5" t="str">
        <f>IF('Besluit bodemkwaliteit'!Q117="X",1,"")</f>
        <v/>
      </c>
      <c r="M94" s="5" t="str">
        <f>IF('Besluit bodemkwaliteit'!R117="X",1,"")</f>
        <v/>
      </c>
      <c r="N94" s="5" t="str">
        <f>IF('Besluit bodemkwaliteit'!S117="X",1,"")</f>
        <v/>
      </c>
    </row>
    <row r="95" spans="1:14">
      <c r="A95" s="10"/>
      <c r="B95" s="11" t="s">
        <v>212</v>
      </c>
      <c r="C95" s="5" t="str">
        <f>IF('Besluit bodemkwaliteit'!H118="X",1,IF('Besluit bodemkwaliteit'!H118="2x",10,""))</f>
        <v/>
      </c>
      <c r="D95" s="5" t="str">
        <f>IF('Besluit bodemkwaliteit'!I118="X",1,IF('Besluit bodemkwaliteit'!I118="@",10,""))</f>
        <v/>
      </c>
      <c r="E95" s="5" t="str">
        <f>IF('Besluit bodemkwaliteit'!J118="X",1,"")</f>
        <v/>
      </c>
      <c r="F95" s="5" t="str">
        <f>IF('Besluit bodemkwaliteit'!K118="X",1,"")</f>
        <v/>
      </c>
      <c r="G95" s="5" t="str">
        <f>IF('Besluit bodemkwaliteit'!L118="X",1,"")</f>
        <v/>
      </c>
      <c r="H95" s="5" t="str">
        <f>IF('Besluit bodemkwaliteit'!M118="X",1,"")</f>
        <v/>
      </c>
      <c r="I95" s="5" t="str">
        <f>IF('Besluit bodemkwaliteit'!N118="X",1,"")</f>
        <v/>
      </c>
      <c r="J95" s="5" t="str">
        <f>IF('Besluit bodemkwaliteit'!O118="X",1,"")</f>
        <v/>
      </c>
      <c r="K95" s="5" t="str">
        <f>IF('Besluit bodemkwaliteit'!P118="X",1,"")</f>
        <v/>
      </c>
      <c r="L95" s="5" t="str">
        <f>IF('Besluit bodemkwaliteit'!Q118="X",1,"")</f>
        <v/>
      </c>
      <c r="M95" s="5" t="str">
        <f>IF('Besluit bodemkwaliteit'!R118="X",1,"")</f>
        <v/>
      </c>
      <c r="N95" s="5" t="str">
        <f>IF('Besluit bodemkwaliteit'!S118="X",1,"")</f>
        <v/>
      </c>
    </row>
    <row r="96" spans="1:14">
      <c r="A96" s="10"/>
      <c r="B96" s="11" t="s">
        <v>73</v>
      </c>
      <c r="C96" s="5" t="str">
        <f>IF('Besluit bodemkwaliteit'!H119="X",1,IF('Besluit bodemkwaliteit'!H119="2x",10,""))</f>
        <v/>
      </c>
      <c r="D96" s="5" t="str">
        <f>IF('Besluit bodemkwaliteit'!I119="X",1,IF('Besluit bodemkwaliteit'!I119="@",10,""))</f>
        <v/>
      </c>
      <c r="E96" s="5" t="str">
        <f>IF('Besluit bodemkwaliteit'!J119="X",1,"")</f>
        <v/>
      </c>
      <c r="F96" s="5" t="str">
        <f>IF('Besluit bodemkwaliteit'!K119="X",1,"")</f>
        <v/>
      </c>
      <c r="G96" s="5" t="str">
        <f>IF('Besluit bodemkwaliteit'!L119="X",1,"")</f>
        <v/>
      </c>
      <c r="H96" s="5" t="str">
        <f>IF('Besluit bodemkwaliteit'!M119="X",1,"")</f>
        <v/>
      </c>
      <c r="I96" s="5" t="str">
        <f>IF('Besluit bodemkwaliteit'!N119="X",1,"")</f>
        <v/>
      </c>
      <c r="J96" s="5" t="str">
        <f>IF('Besluit bodemkwaliteit'!O119="X",1,"")</f>
        <v/>
      </c>
      <c r="K96" s="5" t="str">
        <f>IF('Besluit bodemkwaliteit'!P119="X",1,"")</f>
        <v/>
      </c>
      <c r="L96" s="5" t="str">
        <f>IF('Besluit bodemkwaliteit'!Q119="X",1,"")</f>
        <v/>
      </c>
      <c r="M96" s="5" t="str">
        <f>IF('Besluit bodemkwaliteit'!R119="X",1,"")</f>
        <v/>
      </c>
      <c r="N96" s="5" t="str">
        <f>IF('Besluit bodemkwaliteit'!S119="X",1,"")</f>
        <v/>
      </c>
    </row>
    <row r="97" spans="1:17">
      <c r="A97" s="10"/>
      <c r="B97" s="11" t="s">
        <v>74</v>
      </c>
      <c r="C97" s="5" t="str">
        <f>IF('Besluit bodemkwaliteit'!H120="X",1,IF('Besluit bodemkwaliteit'!H120="2x",10,""))</f>
        <v/>
      </c>
      <c r="D97" s="5" t="str">
        <f>IF('Besluit bodemkwaliteit'!I120="X",1,IF('Besluit bodemkwaliteit'!I120="@",10,""))</f>
        <v/>
      </c>
      <c r="E97" s="5" t="str">
        <f>IF('Besluit bodemkwaliteit'!J120="X",1,"")</f>
        <v/>
      </c>
      <c r="F97" s="5" t="str">
        <f>IF('Besluit bodemkwaliteit'!K120="X",1,"")</f>
        <v/>
      </c>
      <c r="G97" s="5" t="str">
        <f>IF('Besluit bodemkwaliteit'!L120="X",1,"")</f>
        <v/>
      </c>
      <c r="H97" s="5" t="str">
        <f>IF('Besluit bodemkwaliteit'!M120="X",1,"")</f>
        <v/>
      </c>
      <c r="I97" s="5" t="str">
        <f>IF('Besluit bodemkwaliteit'!N120="X",1,"")</f>
        <v/>
      </c>
      <c r="J97" s="5" t="str">
        <f>IF('Besluit bodemkwaliteit'!O120="X",1,"")</f>
        <v/>
      </c>
      <c r="K97" s="5" t="str">
        <f>IF('Besluit bodemkwaliteit'!P120="X",1,"")</f>
        <v/>
      </c>
      <c r="L97" s="5" t="str">
        <f>IF('Besluit bodemkwaliteit'!Q120="X",1,"")</f>
        <v/>
      </c>
      <c r="M97" s="5" t="str">
        <f>IF('Besluit bodemkwaliteit'!R120="X",1,"")</f>
        <v/>
      </c>
      <c r="N97" s="5" t="str">
        <f>IF('Besluit bodemkwaliteit'!S120="X",1,"")</f>
        <v/>
      </c>
    </row>
    <row r="98" spans="1:17">
      <c r="A98" s="10"/>
      <c r="B98" s="11" t="s">
        <v>75</v>
      </c>
      <c r="C98" s="5" t="str">
        <f>IF('Besluit bodemkwaliteit'!H121="X",1,IF('Besluit bodemkwaliteit'!H121="2x",10,""))</f>
        <v/>
      </c>
      <c r="D98" s="5" t="str">
        <f>IF('Besluit bodemkwaliteit'!I121="X",1,IF('Besluit bodemkwaliteit'!I121="@",10,""))</f>
        <v/>
      </c>
      <c r="E98" s="5" t="str">
        <f>IF('Besluit bodemkwaliteit'!J121="X",1,"")</f>
        <v/>
      </c>
      <c r="F98" s="5" t="str">
        <f>IF('Besluit bodemkwaliteit'!K121="X",1,"")</f>
        <v/>
      </c>
      <c r="G98" s="5" t="str">
        <f>IF('Besluit bodemkwaliteit'!L121="X",1,"")</f>
        <v/>
      </c>
      <c r="H98" s="5" t="str">
        <f>IF('Besluit bodemkwaliteit'!M121="X",1,"")</f>
        <v/>
      </c>
      <c r="I98" s="5" t="str">
        <f>IF('Besluit bodemkwaliteit'!N121="X",1,"")</f>
        <v/>
      </c>
      <c r="J98" s="5" t="str">
        <f>IF('Besluit bodemkwaliteit'!O121="X",1,"")</f>
        <v/>
      </c>
      <c r="K98" s="5" t="str">
        <f>IF('Besluit bodemkwaliteit'!P121="X",1,"")</f>
        <v/>
      </c>
      <c r="L98" s="5" t="str">
        <f>IF('Besluit bodemkwaliteit'!Q121="X",1,"")</f>
        <v/>
      </c>
      <c r="M98" s="5" t="str">
        <f>IF('Besluit bodemkwaliteit'!R121="X",1,"")</f>
        <v/>
      </c>
      <c r="N98" s="5" t="str">
        <f>IF('Besluit bodemkwaliteit'!S121="X",1,"")</f>
        <v/>
      </c>
    </row>
    <row r="99" spans="1:17">
      <c r="A99" s="10"/>
      <c r="B99" s="11" t="s">
        <v>179</v>
      </c>
      <c r="C99" s="5" t="str">
        <f>IF('Besluit bodemkwaliteit'!H122="X",1,IF('Besluit bodemkwaliteit'!H122="2x",10,""))</f>
        <v/>
      </c>
      <c r="D99" s="5" t="str">
        <f>IF('Besluit bodemkwaliteit'!I122="X",1,IF('Besluit bodemkwaliteit'!I122="@",10,""))</f>
        <v/>
      </c>
      <c r="E99" s="5" t="str">
        <f>IF('Besluit bodemkwaliteit'!J122="X",1,"")</f>
        <v/>
      </c>
      <c r="F99" s="5" t="str">
        <f>IF('Besluit bodemkwaliteit'!K122="X",1,"")</f>
        <v/>
      </c>
      <c r="G99" s="5" t="str">
        <f>IF('Besluit bodemkwaliteit'!L122="X",1,"")</f>
        <v/>
      </c>
      <c r="H99" s="5" t="str">
        <f>IF('Besluit bodemkwaliteit'!M122="X",1,"")</f>
        <v/>
      </c>
      <c r="I99" s="5" t="str">
        <f>IF('Besluit bodemkwaliteit'!N122="X",1,"")</f>
        <v/>
      </c>
      <c r="J99" s="5" t="str">
        <f>IF('Besluit bodemkwaliteit'!O122="X",1,"")</f>
        <v/>
      </c>
      <c r="K99" s="5" t="str">
        <f>IF('Besluit bodemkwaliteit'!P122="X",1,"")</f>
        <v/>
      </c>
      <c r="L99" s="5" t="str">
        <f>IF('Besluit bodemkwaliteit'!Q122="X",1,"")</f>
        <v/>
      </c>
      <c r="M99" s="5" t="str">
        <f>IF('Besluit bodemkwaliteit'!R122="X",1,"")</f>
        <v/>
      </c>
      <c r="N99" s="5" t="str">
        <f>IF('Besluit bodemkwaliteit'!S122="X",1,"")</f>
        <v/>
      </c>
    </row>
    <row r="100" spans="1:17">
      <c r="A100" s="10"/>
      <c r="B100" s="11"/>
    </row>
    <row r="101" spans="1:17">
      <c r="A101" s="10" t="s">
        <v>76</v>
      </c>
      <c r="B101" s="35" t="s">
        <v>77</v>
      </c>
    </row>
    <row r="102" spans="1:17">
      <c r="A102" s="10"/>
      <c r="B102" s="11" t="s">
        <v>79</v>
      </c>
      <c r="C102" s="5" t="str">
        <f>IF('Besluit bodemkwaliteit'!H125="X",1,IF('Besluit bodemkwaliteit'!H125="2x",10,""))</f>
        <v/>
      </c>
      <c r="D102" s="5" t="str">
        <f>IF('Besluit bodemkwaliteit'!I125="X",1,IF('Besluit bodemkwaliteit'!I125="@",10,""))</f>
        <v/>
      </c>
      <c r="E102" s="5" t="str">
        <f>IF('Besluit bodemkwaliteit'!J125="X",1,"")</f>
        <v/>
      </c>
      <c r="F102" s="5" t="str">
        <f>IF('Besluit bodemkwaliteit'!K125="X",1,"")</f>
        <v/>
      </c>
      <c r="G102" s="5" t="str">
        <f>IF('Besluit bodemkwaliteit'!L125="X",1,"")</f>
        <v/>
      </c>
      <c r="H102" s="5" t="str">
        <f>IF('Besluit bodemkwaliteit'!M125="X",1,"")</f>
        <v/>
      </c>
      <c r="I102" s="5" t="str">
        <f>IF('Besluit bodemkwaliteit'!N125="X",1,"")</f>
        <v/>
      </c>
      <c r="J102" s="5" t="str">
        <f>IF('Besluit bodemkwaliteit'!O125="X",1,"")</f>
        <v/>
      </c>
      <c r="K102" s="5" t="str">
        <f>IF('Besluit bodemkwaliteit'!P125="X",1,"")</f>
        <v/>
      </c>
      <c r="L102" s="5" t="str">
        <f>IF('Besluit bodemkwaliteit'!Q125="X",1,"")</f>
        <v/>
      </c>
      <c r="M102" s="5" t="str">
        <f>IF('Besluit bodemkwaliteit'!R125="X",1,"")</f>
        <v/>
      </c>
      <c r="N102" s="5" t="str">
        <f>IF('Besluit bodemkwaliteit'!S125="X",1,"")</f>
        <v/>
      </c>
    </row>
    <row r="103" spans="1:17">
      <c r="A103" s="10"/>
      <c r="B103" s="11" t="s">
        <v>80</v>
      </c>
      <c r="C103" s="5" t="str">
        <f>IF('Besluit bodemkwaliteit'!H126="X",1,IF('Besluit bodemkwaliteit'!H126="2x",10,""))</f>
        <v/>
      </c>
      <c r="D103" s="5" t="str">
        <f>IF('Besluit bodemkwaliteit'!I126="X",1,IF('Besluit bodemkwaliteit'!I126="@",10,""))</f>
        <v/>
      </c>
      <c r="E103" s="5" t="str">
        <f>IF('Besluit bodemkwaliteit'!J126="X",1,"")</f>
        <v/>
      </c>
      <c r="F103" s="5" t="str">
        <f>IF('Besluit bodemkwaliteit'!K126="X",1,"")</f>
        <v/>
      </c>
      <c r="G103" s="5" t="str">
        <f>IF('Besluit bodemkwaliteit'!L126="X",1,"")</f>
        <v/>
      </c>
      <c r="H103" s="5" t="str">
        <f>IF('Besluit bodemkwaliteit'!M126="X",1,"")</f>
        <v/>
      </c>
      <c r="I103" s="5" t="str">
        <f>IF('Besluit bodemkwaliteit'!N126="X",1,"")</f>
        <v/>
      </c>
      <c r="J103" s="5" t="str">
        <f>IF('Besluit bodemkwaliteit'!O126="X",1,"")</f>
        <v/>
      </c>
      <c r="K103" s="5" t="str">
        <f>IF('Besluit bodemkwaliteit'!P126="X",1,"")</f>
        <v/>
      </c>
      <c r="L103" s="5" t="str">
        <f>IF('Besluit bodemkwaliteit'!Q126="X",1,"")</f>
        <v/>
      </c>
      <c r="M103" s="5" t="str">
        <f>IF('Besluit bodemkwaliteit'!R126="X",1,"")</f>
        <v/>
      </c>
      <c r="N103" s="5" t="str">
        <f>IF('Besluit bodemkwaliteit'!S126="X",1,"")</f>
        <v/>
      </c>
    </row>
    <row r="104" spans="1:17">
      <c r="A104" s="10"/>
      <c r="B104" s="11" t="s">
        <v>85</v>
      </c>
      <c r="C104" s="5" t="str">
        <f>IF('Besluit bodemkwaliteit'!H127="X",1,IF('Besluit bodemkwaliteit'!H127="2x",10,""))</f>
        <v/>
      </c>
      <c r="D104" s="5" t="str">
        <f>IF('Besluit bodemkwaliteit'!I127="X",1,IF('Besluit bodemkwaliteit'!I127="@",10,""))</f>
        <v/>
      </c>
      <c r="E104" s="5" t="str">
        <f>IF('Besluit bodemkwaliteit'!J127="X",1,"")</f>
        <v/>
      </c>
      <c r="F104" s="5" t="str">
        <f>IF('Besluit bodemkwaliteit'!K127="X",1,"")</f>
        <v/>
      </c>
      <c r="G104" s="5" t="str">
        <f>IF('Besluit bodemkwaliteit'!L127="X",1,"")</f>
        <v/>
      </c>
      <c r="H104" s="5" t="str">
        <f>IF('Besluit bodemkwaliteit'!M127="X",1,"")</f>
        <v/>
      </c>
      <c r="I104" s="5" t="str">
        <f>IF('Besluit bodemkwaliteit'!N127="X",1,"")</f>
        <v/>
      </c>
      <c r="J104" s="5" t="str">
        <f>IF('Besluit bodemkwaliteit'!O127="X",1,"")</f>
        <v/>
      </c>
      <c r="K104" s="5" t="str">
        <f>IF('Besluit bodemkwaliteit'!P127="X",1,"")</f>
        <v/>
      </c>
      <c r="L104" s="5" t="str">
        <f>IF('Besluit bodemkwaliteit'!Q127="X",1,"")</f>
        <v/>
      </c>
      <c r="M104" s="5" t="str">
        <f>IF('Besluit bodemkwaliteit'!R127="X",1,"")</f>
        <v/>
      </c>
      <c r="N104" s="5" t="str">
        <f>IF('Besluit bodemkwaliteit'!S127="X",1,"")</f>
        <v/>
      </c>
    </row>
    <row r="105" spans="1:17">
      <c r="A105" s="10"/>
      <c r="B105" s="11" t="s">
        <v>84</v>
      </c>
      <c r="C105" s="5" t="str">
        <f>IF('Besluit bodemkwaliteit'!H128="X",1,IF('Besluit bodemkwaliteit'!H128="2x",10,""))</f>
        <v/>
      </c>
      <c r="D105" s="5" t="str">
        <f>IF('Besluit bodemkwaliteit'!I128="X",1,IF('Besluit bodemkwaliteit'!I128="@",10,""))</f>
        <v/>
      </c>
      <c r="E105" s="5" t="str">
        <f>IF('Besluit bodemkwaliteit'!J128="X",1,"")</f>
        <v/>
      </c>
      <c r="F105" s="5" t="str">
        <f>IF('Besluit bodemkwaliteit'!K128="X",1,"")</f>
        <v/>
      </c>
      <c r="G105" s="5" t="str">
        <f>IF('Besluit bodemkwaliteit'!L128="X",1,"")</f>
        <v/>
      </c>
      <c r="H105" s="5" t="str">
        <f>IF('Besluit bodemkwaliteit'!M128="X",1,"")</f>
        <v/>
      </c>
      <c r="I105" s="5" t="str">
        <f>IF('Besluit bodemkwaliteit'!N128="X",1,"")</f>
        <v/>
      </c>
      <c r="J105" s="5" t="str">
        <f>IF('Besluit bodemkwaliteit'!O128="X",1,"")</f>
        <v/>
      </c>
      <c r="K105" s="5" t="str">
        <f>IF('Besluit bodemkwaliteit'!P128="X",1,"")</f>
        <v/>
      </c>
      <c r="L105" s="5" t="str">
        <f>IF('Besluit bodemkwaliteit'!Q128="X",1,"")</f>
        <v/>
      </c>
      <c r="M105" s="5" t="str">
        <f>IF('Besluit bodemkwaliteit'!R128="X",1,"")</f>
        <v/>
      </c>
      <c r="N105" s="5" t="str">
        <f>IF('Besluit bodemkwaliteit'!S128="X",1,"")</f>
        <v/>
      </c>
    </row>
    <row r="106" spans="1:17">
      <c r="A106" s="10"/>
      <c r="B106" s="11" t="s">
        <v>180</v>
      </c>
      <c r="C106" s="5" t="str">
        <f>IF('Besluit bodemkwaliteit'!H129="X",1,IF('Besluit bodemkwaliteit'!H129="2x",10,""))</f>
        <v/>
      </c>
      <c r="D106" s="5" t="str">
        <f>IF('Besluit bodemkwaliteit'!I129="X",1,IF('Besluit bodemkwaliteit'!I129="@",10,""))</f>
        <v/>
      </c>
      <c r="E106" s="5" t="str">
        <f>IF('Besluit bodemkwaliteit'!J129="X",1,"")</f>
        <v/>
      </c>
      <c r="F106" s="5" t="str">
        <f>IF('Besluit bodemkwaliteit'!K129="X",1,"")</f>
        <v/>
      </c>
      <c r="G106" s="5" t="str">
        <f>IF('Besluit bodemkwaliteit'!L129="X",1,"")</f>
        <v/>
      </c>
      <c r="H106" s="5" t="str">
        <f>IF('Besluit bodemkwaliteit'!M129="X",1,"")</f>
        <v/>
      </c>
      <c r="I106" s="5" t="str">
        <f>IF('Besluit bodemkwaliteit'!N129="X",1,"")</f>
        <v/>
      </c>
      <c r="J106" s="5" t="str">
        <f>IF('Besluit bodemkwaliteit'!O129="X",1,"")</f>
        <v/>
      </c>
      <c r="K106" s="5" t="str">
        <f>IF('Besluit bodemkwaliteit'!P129="X",1,"")</f>
        <v/>
      </c>
      <c r="L106" s="5" t="str">
        <f>IF('Besluit bodemkwaliteit'!Q129="X",1,"")</f>
        <v/>
      </c>
      <c r="M106" s="5" t="str">
        <f>IF('Besluit bodemkwaliteit'!R129="X",1,"")</f>
        <v/>
      </c>
      <c r="N106" s="5" t="str">
        <f>IF('Besluit bodemkwaliteit'!S129="X",1,"")</f>
        <v/>
      </c>
    </row>
    <row r="107" spans="1:17">
      <c r="A107" s="10"/>
      <c r="B107" s="11" t="s">
        <v>81</v>
      </c>
      <c r="C107" s="5" t="str">
        <f>IF('Besluit bodemkwaliteit'!H130="X",1,IF('Besluit bodemkwaliteit'!H130="2x",10,""))</f>
        <v/>
      </c>
      <c r="D107" s="5" t="str">
        <f>IF('Besluit bodemkwaliteit'!I130="X",1,IF('Besluit bodemkwaliteit'!I130="@",10,""))</f>
        <v/>
      </c>
      <c r="E107" s="5" t="str">
        <f>IF('Besluit bodemkwaliteit'!J130="X",1,"")</f>
        <v/>
      </c>
      <c r="F107" s="5" t="str">
        <f>IF('Besluit bodemkwaliteit'!K130="X",1,"")</f>
        <v/>
      </c>
      <c r="G107" s="5" t="str">
        <f>IF('Besluit bodemkwaliteit'!L130="X",1,"")</f>
        <v/>
      </c>
      <c r="H107" s="5" t="str">
        <f>IF('Besluit bodemkwaliteit'!M130="X",1,"")</f>
        <v/>
      </c>
      <c r="I107" s="5" t="str">
        <f>IF('Besluit bodemkwaliteit'!N130="X",1,"")</f>
        <v/>
      </c>
      <c r="J107" s="5" t="str">
        <f>IF('Besluit bodemkwaliteit'!O130="X",1,"")</f>
        <v/>
      </c>
      <c r="K107" s="5" t="str">
        <f>IF('Besluit bodemkwaliteit'!P130="X",1,"")</f>
        <v/>
      </c>
      <c r="L107" s="5" t="str">
        <f>IF('Besluit bodemkwaliteit'!Q130="X",1,"")</f>
        <v/>
      </c>
      <c r="M107" s="5" t="str">
        <f>IF('Besluit bodemkwaliteit'!R130="X",1,"")</f>
        <v/>
      </c>
      <c r="N107" s="5" t="str">
        <f>IF('Besluit bodemkwaliteit'!S130="X",1,"")</f>
        <v/>
      </c>
    </row>
    <row r="108" spans="1:17">
      <c r="A108" s="10"/>
      <c r="B108" s="11" t="s">
        <v>82</v>
      </c>
      <c r="C108" s="5" t="str">
        <f>IF('Besluit bodemkwaliteit'!H131="X",1,IF('Besluit bodemkwaliteit'!H131="2x",10,""))</f>
        <v/>
      </c>
      <c r="D108" s="5" t="str">
        <f>IF('Besluit bodemkwaliteit'!I131="X",1,IF('Besluit bodemkwaliteit'!I131="@",10,""))</f>
        <v/>
      </c>
      <c r="E108" s="5" t="str">
        <f>IF('Besluit bodemkwaliteit'!J131="X",1,"")</f>
        <v/>
      </c>
      <c r="F108" s="5" t="str">
        <f>IF('Besluit bodemkwaliteit'!K131="X",1,"")</f>
        <v/>
      </c>
      <c r="G108" s="5" t="str">
        <f>IF('Besluit bodemkwaliteit'!L131="X",1,"")</f>
        <v/>
      </c>
      <c r="H108" s="5" t="str">
        <f>IF('Besluit bodemkwaliteit'!M131="X",1,"")</f>
        <v/>
      </c>
      <c r="I108" s="5" t="str">
        <f>IF('Besluit bodemkwaliteit'!N131="X",1,"")</f>
        <v/>
      </c>
      <c r="J108" s="5" t="str">
        <f>IF('Besluit bodemkwaliteit'!O131="X",1,"")</f>
        <v/>
      </c>
      <c r="K108" s="5" t="str">
        <f>IF('Besluit bodemkwaliteit'!P131="X",1,"")</f>
        <v/>
      </c>
      <c r="L108" s="5" t="str">
        <f>IF('Besluit bodemkwaliteit'!Q131="X",1,"")</f>
        <v/>
      </c>
      <c r="M108" s="5" t="str">
        <f>IF('Besluit bodemkwaliteit'!R131="X",1,"")</f>
        <v/>
      </c>
      <c r="N108" s="384"/>
      <c r="O108" s="385"/>
      <c r="P108" s="385"/>
      <c r="Q108" s="385"/>
    </row>
    <row r="109" spans="1:17">
      <c r="A109" s="10"/>
      <c r="B109" s="11" t="s">
        <v>83</v>
      </c>
      <c r="C109" s="5" t="str">
        <f>IF('Besluit bodemkwaliteit'!H132="X",1,IF('Besluit bodemkwaliteit'!H132="2x",10,""))</f>
        <v/>
      </c>
      <c r="D109" s="5" t="str">
        <f>IF('Besluit bodemkwaliteit'!I132="X",1,IF('Besluit bodemkwaliteit'!I132="@",10,""))</f>
        <v/>
      </c>
      <c r="E109" s="5" t="str">
        <f>IF('Besluit bodemkwaliteit'!J132="X",1,"")</f>
        <v/>
      </c>
      <c r="F109" s="5" t="str">
        <f>IF('Besluit bodemkwaliteit'!K132="X",1,"")</f>
        <v/>
      </c>
      <c r="G109" s="5" t="str">
        <f>IF('Besluit bodemkwaliteit'!L132="X",1,"")</f>
        <v/>
      </c>
      <c r="H109" s="5" t="str">
        <f>IF('Besluit bodemkwaliteit'!M132="X",1,"")</f>
        <v/>
      </c>
      <c r="I109" s="5" t="str">
        <f>IF('Besluit bodemkwaliteit'!N132="X",1,"")</f>
        <v/>
      </c>
      <c r="J109" s="5" t="str">
        <f>IF('Besluit bodemkwaliteit'!O132="X",1,"")</f>
        <v/>
      </c>
      <c r="K109" s="5" t="str">
        <f>IF('Besluit bodemkwaliteit'!P132="X",1,"")</f>
        <v/>
      </c>
      <c r="L109" s="5" t="str">
        <f>IF('Besluit bodemkwaliteit'!Q132="X",1,"")</f>
        <v/>
      </c>
      <c r="M109" s="5" t="str">
        <f>IF('Besluit bodemkwaliteit'!R132="X",1,"")</f>
        <v/>
      </c>
      <c r="N109" s="384"/>
      <c r="O109" s="384"/>
      <c r="P109" s="384"/>
      <c r="Q109" s="385"/>
    </row>
    <row r="110" spans="1:17">
      <c r="A110" s="10"/>
      <c r="B110" s="11"/>
      <c r="N110" s="385"/>
      <c r="O110" s="385"/>
      <c r="P110" s="385"/>
      <c r="Q110" s="385"/>
    </row>
    <row r="111" spans="1:17">
      <c r="A111" s="10" t="s">
        <v>86</v>
      </c>
      <c r="B111" s="35" t="s">
        <v>87</v>
      </c>
    </row>
    <row r="112" spans="1:17">
      <c r="A112" s="10"/>
      <c r="B112" s="11" t="s">
        <v>213</v>
      </c>
      <c r="C112" s="5" t="str">
        <f>IF('Besluit bodemkwaliteit'!H135="X",1,IF('Besluit bodemkwaliteit'!H135="2x",10,""))</f>
        <v/>
      </c>
      <c r="D112" s="5" t="str">
        <f>IF('Besluit bodemkwaliteit'!I135="X",1,IF('Besluit bodemkwaliteit'!I135="@",10,""))</f>
        <v/>
      </c>
      <c r="E112" s="5" t="str">
        <f>IF('Besluit bodemkwaliteit'!J135="X",1,"")</f>
        <v/>
      </c>
      <c r="F112" s="5" t="str">
        <f>IF('Besluit bodemkwaliteit'!K135="X",1,"")</f>
        <v/>
      </c>
      <c r="G112" s="5" t="str">
        <f>IF('Besluit bodemkwaliteit'!L135="X",1,"")</f>
        <v/>
      </c>
      <c r="H112" s="5" t="str">
        <f>IF('Besluit bodemkwaliteit'!M135="X",1,"")</f>
        <v/>
      </c>
      <c r="I112" s="5" t="str">
        <f>IF('Besluit bodemkwaliteit'!N135="X",1,"")</f>
        <v/>
      </c>
      <c r="J112" s="5" t="str">
        <f>IF('Besluit bodemkwaliteit'!O135="X",1,"")</f>
        <v/>
      </c>
      <c r="K112" s="5" t="str">
        <f>IF('Besluit bodemkwaliteit'!P135="X",1,"")</f>
        <v/>
      </c>
      <c r="L112" s="5" t="str">
        <f>IF('Besluit bodemkwaliteit'!Q135="X",1,"")</f>
        <v/>
      </c>
      <c r="M112" s="5" t="str">
        <f>IF('Besluit bodemkwaliteit'!R135="X",1,"")</f>
        <v/>
      </c>
      <c r="N112" s="5" t="str">
        <f>IF('Besluit bodemkwaliteit'!S135="X",1,"")</f>
        <v/>
      </c>
    </row>
    <row r="113" spans="1:14">
      <c r="A113" s="10"/>
      <c r="B113" s="11" t="s">
        <v>88</v>
      </c>
      <c r="C113" s="5" t="str">
        <f>IF('Besluit bodemkwaliteit'!H136="X",1,IF('Besluit bodemkwaliteit'!H136="2x",10,""))</f>
        <v/>
      </c>
      <c r="D113" s="5" t="str">
        <f>IF('Besluit bodemkwaliteit'!I136="X",1,IF('Besluit bodemkwaliteit'!I136="@",10,""))</f>
        <v/>
      </c>
      <c r="E113" s="5" t="str">
        <f>IF('Besluit bodemkwaliteit'!J136="X",1,"")</f>
        <v/>
      </c>
      <c r="F113" s="5" t="str">
        <f>IF('Besluit bodemkwaliteit'!K136="X",1,"")</f>
        <v/>
      </c>
      <c r="G113" s="5" t="str">
        <f>IF('Besluit bodemkwaliteit'!L136="X",1,"")</f>
        <v/>
      </c>
      <c r="H113" s="5" t="str">
        <f>IF('Besluit bodemkwaliteit'!M136="X",1,"")</f>
        <v/>
      </c>
      <c r="I113" s="5" t="str">
        <f>IF('Besluit bodemkwaliteit'!N136="X",1,"")</f>
        <v/>
      </c>
      <c r="J113" s="5" t="str">
        <f>IF('Besluit bodemkwaliteit'!O136="X",1,"")</f>
        <v/>
      </c>
      <c r="K113" s="5" t="str">
        <f>IF('Besluit bodemkwaliteit'!P136="X",1,"")</f>
        <v/>
      </c>
      <c r="L113" s="5" t="str">
        <f>IF('Besluit bodemkwaliteit'!Q136="X",1,"")</f>
        <v/>
      </c>
      <c r="M113" s="5" t="str">
        <f>IF('Besluit bodemkwaliteit'!R136="X",1,"")</f>
        <v/>
      </c>
      <c r="N113" s="5" t="str">
        <f>IF('Besluit bodemkwaliteit'!S136="X",1,"")</f>
        <v/>
      </c>
    </row>
    <row r="114" spans="1:14">
      <c r="A114" s="10"/>
      <c r="B114" s="11" t="s">
        <v>89</v>
      </c>
      <c r="C114" s="5" t="str">
        <f>IF('Besluit bodemkwaliteit'!H137="X",1,IF('Besluit bodemkwaliteit'!H137="2x",10,""))</f>
        <v/>
      </c>
      <c r="D114" s="5" t="str">
        <f>IF('Besluit bodemkwaliteit'!I137="X",1,IF('Besluit bodemkwaliteit'!I137="@",10,""))</f>
        <v/>
      </c>
      <c r="E114" s="5" t="str">
        <f>IF('Besluit bodemkwaliteit'!J137="X",1,"")</f>
        <v/>
      </c>
      <c r="F114" s="5" t="str">
        <f>IF('Besluit bodemkwaliteit'!K137="X",1,"")</f>
        <v/>
      </c>
      <c r="G114" s="5" t="str">
        <f>IF('Besluit bodemkwaliteit'!L137="X",1,"")</f>
        <v/>
      </c>
      <c r="H114" s="5" t="str">
        <f>IF('Besluit bodemkwaliteit'!M137="X",1,"")</f>
        <v/>
      </c>
      <c r="I114" s="5" t="str">
        <f>IF('Besluit bodemkwaliteit'!N137="X",1,"")</f>
        <v/>
      </c>
      <c r="J114" s="5" t="str">
        <f>IF('Besluit bodemkwaliteit'!O137="X",1,"")</f>
        <v/>
      </c>
      <c r="K114" s="5" t="str">
        <f>IF('Besluit bodemkwaliteit'!P137="X",1,"")</f>
        <v/>
      </c>
      <c r="L114" s="5" t="str">
        <f>IF('Besluit bodemkwaliteit'!Q137="X",1,"")</f>
        <v/>
      </c>
      <c r="M114" s="5" t="str">
        <f>IF('Besluit bodemkwaliteit'!R137="X",1,"")</f>
        <v/>
      </c>
      <c r="N114" s="5" t="str">
        <f>IF('Besluit bodemkwaliteit'!S137="X",1,"")</f>
        <v/>
      </c>
    </row>
    <row r="115" spans="1:14">
      <c r="A115" s="10"/>
      <c r="B115" s="11" t="s">
        <v>90</v>
      </c>
      <c r="C115" s="5" t="str">
        <f>IF('Besluit bodemkwaliteit'!H138="X",1,IF('Besluit bodemkwaliteit'!H138="2x",10,""))</f>
        <v/>
      </c>
      <c r="D115" s="5" t="str">
        <f>IF('Besluit bodemkwaliteit'!I138="X",1,IF('Besluit bodemkwaliteit'!I138="@",10,""))</f>
        <v/>
      </c>
      <c r="E115" s="5" t="str">
        <f>IF('Besluit bodemkwaliteit'!J138="X",1,"")</f>
        <v/>
      </c>
      <c r="F115" s="5" t="str">
        <f>IF('Besluit bodemkwaliteit'!K138="X",1,"")</f>
        <v/>
      </c>
      <c r="G115" s="5" t="str">
        <f>IF('Besluit bodemkwaliteit'!L138="X",1,"")</f>
        <v/>
      </c>
      <c r="H115" s="5" t="str">
        <f>IF('Besluit bodemkwaliteit'!M138="X",1,"")</f>
        <v/>
      </c>
      <c r="I115" s="5" t="str">
        <f>IF('Besluit bodemkwaliteit'!N138="X",1,"")</f>
        <v/>
      </c>
      <c r="J115" s="5" t="str">
        <f>IF('Besluit bodemkwaliteit'!O138="X",1,"")</f>
        <v/>
      </c>
      <c r="K115" s="5" t="str">
        <f>IF('Besluit bodemkwaliteit'!P138="X",1,"")</f>
        <v/>
      </c>
      <c r="L115" s="5" t="str">
        <f>IF('Besluit bodemkwaliteit'!Q138="X",1,"")</f>
        <v/>
      </c>
      <c r="M115" s="5" t="str">
        <f>IF('Besluit bodemkwaliteit'!R138="X",1,"")</f>
        <v/>
      </c>
      <c r="N115" s="5" t="str">
        <f>IF('Besluit bodemkwaliteit'!S138="X",1,"")</f>
        <v/>
      </c>
    </row>
    <row r="116" spans="1:14">
      <c r="A116" s="10"/>
      <c r="B116" s="11"/>
    </row>
    <row r="117" spans="1:14">
      <c r="A117" s="32">
        <v>6</v>
      </c>
      <c r="B117" s="32" t="s">
        <v>111</v>
      </c>
    </row>
    <row r="118" spans="1:14">
      <c r="A118" s="37" t="s">
        <v>65</v>
      </c>
      <c r="B118" s="38" t="s">
        <v>91</v>
      </c>
    </row>
    <row r="119" spans="1:14">
      <c r="A119" s="10"/>
      <c r="B119" s="11" t="s">
        <v>214</v>
      </c>
      <c r="C119" s="5" t="str">
        <f>IF('Besluit bodemkwaliteit'!H142="X",1,IF('Besluit bodemkwaliteit'!H142="2x",10,""))</f>
        <v/>
      </c>
      <c r="D119" s="5" t="str">
        <f>IF('Besluit bodemkwaliteit'!I142="X",1,IF('Besluit bodemkwaliteit'!I142="@",10,""))</f>
        <v/>
      </c>
      <c r="E119" s="5" t="str">
        <f>IF('Besluit bodemkwaliteit'!J142="X",1,"")</f>
        <v/>
      </c>
      <c r="F119" s="5" t="str">
        <f>IF('Besluit bodemkwaliteit'!K142="X",1,"")</f>
        <v/>
      </c>
      <c r="G119" s="5" t="str">
        <f>IF('Besluit bodemkwaliteit'!L142="X",1,"")</f>
        <v/>
      </c>
      <c r="H119" s="5" t="str">
        <f>IF('Besluit bodemkwaliteit'!M142="X",1,"")</f>
        <v/>
      </c>
      <c r="I119" s="5" t="str">
        <f>IF('Besluit bodemkwaliteit'!N142="X",1,"")</f>
        <v/>
      </c>
      <c r="J119" s="5" t="str">
        <f>IF('Besluit bodemkwaliteit'!O142="X",1,"")</f>
        <v/>
      </c>
      <c r="K119" s="5" t="str">
        <f>IF('Besluit bodemkwaliteit'!P142="X",1,"")</f>
        <v/>
      </c>
      <c r="L119" s="5" t="str">
        <f>IF('Besluit bodemkwaliteit'!Q142="X",1,"")</f>
        <v/>
      </c>
      <c r="M119" s="5" t="str">
        <f>IF('Besluit bodemkwaliteit'!R142="X",1,"")</f>
        <v/>
      </c>
      <c r="N119" s="5" t="str">
        <f>IF('Besluit bodemkwaliteit'!S142="X",1,"")</f>
        <v/>
      </c>
    </row>
    <row r="120" spans="1:14">
      <c r="A120" s="10"/>
      <c r="B120" s="11" t="s">
        <v>92</v>
      </c>
      <c r="C120" s="5" t="str">
        <f>IF('Besluit bodemkwaliteit'!H143="X",1,IF('Besluit bodemkwaliteit'!H143="2x",10,""))</f>
        <v/>
      </c>
      <c r="D120" s="5" t="str">
        <f>IF('Besluit bodemkwaliteit'!I143="X",1,IF('Besluit bodemkwaliteit'!I143="@",10,""))</f>
        <v/>
      </c>
      <c r="E120" s="5" t="str">
        <f>IF('Besluit bodemkwaliteit'!J143="X",1,"")</f>
        <v/>
      </c>
      <c r="F120" s="5" t="str">
        <f>IF('Besluit bodemkwaliteit'!K143="X",1,"")</f>
        <v/>
      </c>
      <c r="G120" s="5" t="str">
        <f>IF('Besluit bodemkwaliteit'!L143="X",1,"")</f>
        <v/>
      </c>
      <c r="H120" s="5" t="str">
        <f>IF('Besluit bodemkwaliteit'!M143="X",1,"")</f>
        <v/>
      </c>
      <c r="I120" s="5" t="str">
        <f>IF('Besluit bodemkwaliteit'!N143="X",1,"")</f>
        <v/>
      </c>
      <c r="J120" s="5" t="str">
        <f>IF('Besluit bodemkwaliteit'!O143="X",1,"")</f>
        <v/>
      </c>
      <c r="K120" s="5" t="str">
        <f>IF('Besluit bodemkwaliteit'!P143="X",1,"")</f>
        <v/>
      </c>
      <c r="L120" s="5" t="str">
        <f>IF('Besluit bodemkwaliteit'!Q143="X",1,"")</f>
        <v/>
      </c>
      <c r="M120" s="5" t="str">
        <f>IF('Besluit bodemkwaliteit'!R143="X",1,"")</f>
        <v/>
      </c>
      <c r="N120" s="5" t="str">
        <f>IF('Besluit bodemkwaliteit'!S143="X",1,"")</f>
        <v/>
      </c>
    </row>
    <row r="121" spans="1:14">
      <c r="A121" s="10"/>
      <c r="B121" s="11" t="s">
        <v>93</v>
      </c>
      <c r="C121" s="5" t="str">
        <f>IF('Besluit bodemkwaliteit'!H144="X",1,IF('Besluit bodemkwaliteit'!H144="2x",10,""))</f>
        <v/>
      </c>
      <c r="D121" s="5" t="str">
        <f>IF('Besluit bodemkwaliteit'!I144="X",1,IF('Besluit bodemkwaliteit'!I144="@",10,""))</f>
        <v/>
      </c>
      <c r="E121" s="5" t="str">
        <f>IF('Besluit bodemkwaliteit'!J144="X",1,"")</f>
        <v/>
      </c>
      <c r="F121" s="5" t="str">
        <f>IF('Besluit bodemkwaliteit'!K144="X",1,"")</f>
        <v/>
      </c>
      <c r="G121" s="5" t="str">
        <f>IF('Besluit bodemkwaliteit'!L144="X",1,"")</f>
        <v/>
      </c>
      <c r="H121" s="5" t="str">
        <f>IF('Besluit bodemkwaliteit'!M144="X",1,"")</f>
        <v/>
      </c>
      <c r="I121" s="5" t="str">
        <f>IF('Besluit bodemkwaliteit'!N144="X",1,"")</f>
        <v/>
      </c>
      <c r="J121" s="5" t="str">
        <f>IF('Besluit bodemkwaliteit'!O144="X",1,"")</f>
        <v/>
      </c>
      <c r="K121" s="5" t="str">
        <f>IF('Besluit bodemkwaliteit'!P144="X",1,"")</f>
        <v/>
      </c>
      <c r="L121" s="5" t="str">
        <f>IF('Besluit bodemkwaliteit'!Q144="X",1,"")</f>
        <v/>
      </c>
      <c r="M121" s="5" t="str">
        <f>IF('Besluit bodemkwaliteit'!R144="X",1,"")</f>
        <v/>
      </c>
      <c r="N121" s="5" t="str">
        <f>IF('Besluit bodemkwaliteit'!S144="X",1,"")</f>
        <v/>
      </c>
    </row>
    <row r="122" spans="1:14">
      <c r="A122" s="10"/>
      <c r="B122" s="11" t="s">
        <v>94</v>
      </c>
      <c r="C122" s="5" t="str">
        <f>IF('Besluit bodemkwaliteit'!H145="X",1,IF('Besluit bodemkwaliteit'!H145="2x",10,""))</f>
        <v/>
      </c>
      <c r="D122" s="5" t="str">
        <f>IF('Besluit bodemkwaliteit'!I145="X",1,IF('Besluit bodemkwaliteit'!I145="@",10,""))</f>
        <v/>
      </c>
      <c r="E122" s="5" t="str">
        <f>IF('Besluit bodemkwaliteit'!J145="X",1,"")</f>
        <v/>
      </c>
      <c r="F122" s="5" t="str">
        <f>IF('Besluit bodemkwaliteit'!K145="X",1,"")</f>
        <v/>
      </c>
      <c r="G122" s="5" t="str">
        <f>IF('Besluit bodemkwaliteit'!L145="X",1,"")</f>
        <v/>
      </c>
      <c r="H122" s="5" t="str">
        <f>IF('Besluit bodemkwaliteit'!M145="X",1,"")</f>
        <v/>
      </c>
      <c r="I122" s="5" t="str">
        <f>IF('Besluit bodemkwaliteit'!N145="X",1,"")</f>
        <v/>
      </c>
      <c r="J122" s="5" t="str">
        <f>IF('Besluit bodemkwaliteit'!O145="X",1,"")</f>
        <v/>
      </c>
      <c r="K122" s="5" t="str">
        <f>IF('Besluit bodemkwaliteit'!P145="X",1,"")</f>
        <v/>
      </c>
      <c r="L122" s="5" t="str">
        <f>IF('Besluit bodemkwaliteit'!Q145="X",1,"")</f>
        <v/>
      </c>
      <c r="M122" s="5" t="str">
        <f>IF('Besluit bodemkwaliteit'!R145="X",1,"")</f>
        <v/>
      </c>
      <c r="N122" s="5" t="str">
        <f>IF('Besluit bodemkwaliteit'!S145="X",1,"")</f>
        <v/>
      </c>
    </row>
    <row r="123" spans="1:14">
      <c r="A123" s="10"/>
      <c r="B123" s="11" t="s">
        <v>95</v>
      </c>
      <c r="C123" s="5" t="str">
        <f>IF('Besluit bodemkwaliteit'!H146="X",1,IF('Besluit bodemkwaliteit'!H146="2x",10,""))</f>
        <v/>
      </c>
      <c r="D123" s="5" t="str">
        <f>IF('Besluit bodemkwaliteit'!I146="X",1,IF('Besluit bodemkwaliteit'!I146="@",10,""))</f>
        <v/>
      </c>
      <c r="E123" s="5" t="str">
        <f>IF('Besluit bodemkwaliteit'!J146="X",1,"")</f>
        <v/>
      </c>
      <c r="F123" s="5" t="str">
        <f>IF('Besluit bodemkwaliteit'!K146="X",1,"")</f>
        <v/>
      </c>
      <c r="G123" s="5" t="str">
        <f>IF('Besluit bodemkwaliteit'!L146="X",1,"")</f>
        <v/>
      </c>
      <c r="H123" s="5" t="str">
        <f>IF('Besluit bodemkwaliteit'!M146="X",1,"")</f>
        <v/>
      </c>
      <c r="I123" s="5" t="str">
        <f>IF('Besluit bodemkwaliteit'!N146="X",1,"")</f>
        <v/>
      </c>
      <c r="J123" s="5" t="str">
        <f>IF('Besluit bodemkwaliteit'!O146="X",1,"")</f>
        <v/>
      </c>
      <c r="K123" s="5" t="str">
        <f>IF('Besluit bodemkwaliteit'!P146="X",1,"")</f>
        <v/>
      </c>
      <c r="L123" s="5" t="str">
        <f>IF('Besluit bodemkwaliteit'!Q146="X",1,"")</f>
        <v/>
      </c>
      <c r="M123" s="5" t="str">
        <f>IF('Besluit bodemkwaliteit'!R146="X",1,"")</f>
        <v/>
      </c>
      <c r="N123" s="5" t="str">
        <f>IF('Besluit bodemkwaliteit'!S146="X",1,"")</f>
        <v/>
      </c>
    </row>
    <row r="124" spans="1:14">
      <c r="A124" s="10"/>
      <c r="B124" s="11" t="s">
        <v>181</v>
      </c>
      <c r="C124" s="5" t="str">
        <f>IF('Besluit bodemkwaliteit'!H147="X",1,IF('Besluit bodemkwaliteit'!H147="2x",10,""))</f>
        <v/>
      </c>
      <c r="D124" s="5" t="str">
        <f>IF('Besluit bodemkwaliteit'!I147="X",1,IF('Besluit bodemkwaliteit'!I147="@",10,""))</f>
        <v/>
      </c>
      <c r="E124" s="5" t="str">
        <f>IF('Besluit bodemkwaliteit'!J147="X",1,"")</f>
        <v/>
      </c>
      <c r="F124" s="5" t="str">
        <f>IF('Besluit bodemkwaliteit'!K147="X",1,"")</f>
        <v/>
      </c>
      <c r="G124" s="5" t="str">
        <f>IF('Besluit bodemkwaliteit'!L147="X",1,"")</f>
        <v/>
      </c>
      <c r="H124" s="5" t="str">
        <f>IF('Besluit bodemkwaliteit'!M147="X",1,"")</f>
        <v/>
      </c>
      <c r="I124" s="5" t="str">
        <f>IF('Besluit bodemkwaliteit'!N147="X",1,"")</f>
        <v/>
      </c>
      <c r="J124" s="5" t="str">
        <f>IF('Besluit bodemkwaliteit'!O147="X",1,"")</f>
        <v/>
      </c>
      <c r="K124" s="5" t="str">
        <f>IF('Besluit bodemkwaliteit'!P147="X",1,"")</f>
        <v/>
      </c>
      <c r="L124" s="5" t="str">
        <f>IF('Besluit bodemkwaliteit'!Q147="X",1,"")</f>
        <v/>
      </c>
      <c r="M124" s="5" t="str">
        <f>IF('Besluit bodemkwaliteit'!R147="X",1,"")</f>
        <v/>
      </c>
      <c r="N124" s="5" t="str">
        <f>IF('Besluit bodemkwaliteit'!S147="X",1,"")</f>
        <v/>
      </c>
    </row>
    <row r="125" spans="1:14">
      <c r="A125" s="10"/>
      <c r="B125" s="11" t="s">
        <v>96</v>
      </c>
      <c r="C125" s="5" t="str">
        <f>IF('Besluit bodemkwaliteit'!H148="X",1,IF('Besluit bodemkwaliteit'!H148="2x",10,""))</f>
        <v/>
      </c>
      <c r="D125" s="5" t="str">
        <f>IF('Besluit bodemkwaliteit'!I148="X",1,IF('Besluit bodemkwaliteit'!I148="@",10,""))</f>
        <v/>
      </c>
      <c r="E125" s="5" t="str">
        <f>IF('Besluit bodemkwaliteit'!J148="X",1,"")</f>
        <v/>
      </c>
      <c r="F125" s="5" t="str">
        <f>IF('Besluit bodemkwaliteit'!K148="X",1,"")</f>
        <v/>
      </c>
      <c r="G125" s="5" t="str">
        <f>IF('Besluit bodemkwaliteit'!L148="X",1,"")</f>
        <v/>
      </c>
      <c r="H125" s="5" t="str">
        <f>IF('Besluit bodemkwaliteit'!M148="X",1,"")</f>
        <v/>
      </c>
      <c r="I125" s="5" t="str">
        <f>IF('Besluit bodemkwaliteit'!N148="X",1,"")</f>
        <v/>
      </c>
      <c r="J125" s="5" t="str">
        <f>IF('Besluit bodemkwaliteit'!O148="X",1,"")</f>
        <v/>
      </c>
      <c r="K125" s="5" t="str">
        <f>IF('Besluit bodemkwaliteit'!P148="X",1,"")</f>
        <v/>
      </c>
      <c r="L125" s="5" t="str">
        <f>IF('Besluit bodemkwaliteit'!Q148="X",1,"")</f>
        <v/>
      </c>
      <c r="M125" s="5" t="str">
        <f>IF('Besluit bodemkwaliteit'!R148="X",1,"")</f>
        <v/>
      </c>
      <c r="N125" s="5" t="str">
        <f>IF('Besluit bodemkwaliteit'!S148="X",1,"")</f>
        <v/>
      </c>
    </row>
    <row r="126" spans="1:14">
      <c r="A126" s="10"/>
      <c r="B126" s="11" t="s">
        <v>97</v>
      </c>
      <c r="C126" s="5" t="str">
        <f>IF('Besluit bodemkwaliteit'!H149="X",1,IF('Besluit bodemkwaliteit'!H149="2x",10,""))</f>
        <v/>
      </c>
      <c r="D126" s="5" t="str">
        <f>IF('Besluit bodemkwaliteit'!I149="X",1,IF('Besluit bodemkwaliteit'!I149="@",10,""))</f>
        <v/>
      </c>
      <c r="E126" s="5" t="str">
        <f>IF('Besluit bodemkwaliteit'!J149="X",1,"")</f>
        <v/>
      </c>
      <c r="F126" s="5" t="str">
        <f>IF('Besluit bodemkwaliteit'!K149="X",1,"")</f>
        <v/>
      </c>
      <c r="G126" s="5" t="str">
        <f>IF('Besluit bodemkwaliteit'!L149="X",1,"")</f>
        <v/>
      </c>
      <c r="H126" s="5" t="str">
        <f>IF('Besluit bodemkwaliteit'!M149="X",1,"")</f>
        <v/>
      </c>
      <c r="I126" s="5" t="str">
        <f>IF('Besluit bodemkwaliteit'!N149="X",1,"")</f>
        <v/>
      </c>
      <c r="J126" s="5" t="str">
        <f>IF('Besluit bodemkwaliteit'!O149="X",1,"")</f>
        <v/>
      </c>
      <c r="K126" s="5" t="str">
        <f>IF('Besluit bodemkwaliteit'!P149="X",1,"")</f>
        <v/>
      </c>
      <c r="L126" s="5" t="str">
        <f>IF('Besluit bodemkwaliteit'!Q149="X",1,"")</f>
        <v/>
      </c>
      <c r="M126" s="5" t="str">
        <f>IF('Besluit bodemkwaliteit'!R149="X",1,"")</f>
        <v/>
      </c>
      <c r="N126" s="5" t="str">
        <f>IF('Besluit bodemkwaliteit'!S149="X",1,"")</f>
        <v/>
      </c>
    </row>
    <row r="127" spans="1:14">
      <c r="A127" s="10"/>
      <c r="B127" s="11" t="s">
        <v>98</v>
      </c>
      <c r="C127" s="5" t="str">
        <f>IF('Besluit bodemkwaliteit'!H150="X",1,IF('Besluit bodemkwaliteit'!H150="2x",10,""))</f>
        <v/>
      </c>
      <c r="D127" s="5" t="str">
        <f>IF('Besluit bodemkwaliteit'!I150="X",1,IF('Besluit bodemkwaliteit'!I150="@",10,""))</f>
        <v/>
      </c>
      <c r="E127" s="5" t="str">
        <f>IF('Besluit bodemkwaliteit'!J150="X",1,"")</f>
        <v/>
      </c>
      <c r="F127" s="5" t="str">
        <f>IF('Besluit bodemkwaliteit'!K150="X",1,"")</f>
        <v/>
      </c>
      <c r="G127" s="5" t="str">
        <f>IF('Besluit bodemkwaliteit'!L150="X",1,"")</f>
        <v/>
      </c>
      <c r="H127" s="5" t="str">
        <f>IF('Besluit bodemkwaliteit'!M150="X",1,"")</f>
        <v/>
      </c>
      <c r="I127" s="5" t="str">
        <f>IF('Besluit bodemkwaliteit'!N150="X",1,"")</f>
        <v/>
      </c>
      <c r="J127" s="5" t="str">
        <f>IF('Besluit bodemkwaliteit'!O150="X",1,"")</f>
        <v/>
      </c>
      <c r="K127" s="5" t="str">
        <f>IF('Besluit bodemkwaliteit'!P150="X",1,"")</f>
        <v/>
      </c>
      <c r="L127" s="5" t="str">
        <f>IF('Besluit bodemkwaliteit'!Q150="X",1,"")</f>
        <v/>
      </c>
      <c r="M127" s="5" t="str">
        <f>IF('Besluit bodemkwaliteit'!R150="X",1,"")</f>
        <v/>
      </c>
      <c r="N127" s="5" t="str">
        <f>IF('Besluit bodemkwaliteit'!S150="X",1,"")</f>
        <v/>
      </c>
    </row>
    <row r="128" spans="1:14">
      <c r="A128" s="10"/>
      <c r="B128" s="11" t="s">
        <v>99</v>
      </c>
      <c r="C128" s="5" t="str">
        <f>IF('Besluit bodemkwaliteit'!H151="X",1,IF('Besluit bodemkwaliteit'!H151="2x",10,""))</f>
        <v/>
      </c>
      <c r="D128" s="5" t="str">
        <f>IF('Besluit bodemkwaliteit'!I151="X",1,IF('Besluit bodemkwaliteit'!I151="@",10,""))</f>
        <v/>
      </c>
      <c r="E128" s="5" t="str">
        <f>IF('Besluit bodemkwaliteit'!J151="X",1,"")</f>
        <v/>
      </c>
      <c r="F128" s="5" t="str">
        <f>IF('Besluit bodemkwaliteit'!K151="X",1,"")</f>
        <v/>
      </c>
      <c r="G128" s="5" t="str">
        <f>IF('Besluit bodemkwaliteit'!L151="X",1,"")</f>
        <v/>
      </c>
      <c r="H128" s="5" t="str">
        <f>IF('Besluit bodemkwaliteit'!M151="X",1,"")</f>
        <v/>
      </c>
      <c r="I128" s="5" t="str">
        <f>IF('Besluit bodemkwaliteit'!N151="X",1,"")</f>
        <v/>
      </c>
      <c r="J128" s="5" t="str">
        <f>IF('Besluit bodemkwaliteit'!O151="X",1,"")</f>
        <v/>
      </c>
      <c r="K128" s="5" t="str">
        <f>IF('Besluit bodemkwaliteit'!P151="X",1,"")</f>
        <v/>
      </c>
      <c r="L128" s="5" t="str">
        <f>IF('Besluit bodemkwaliteit'!Q151="X",1,"")</f>
        <v/>
      </c>
      <c r="M128" s="5" t="str">
        <f>IF('Besluit bodemkwaliteit'!R151="X",1,"")</f>
        <v/>
      </c>
      <c r="N128" s="5" t="str">
        <f>IF('Besluit bodemkwaliteit'!S151="X",1,"")</f>
        <v/>
      </c>
    </row>
    <row r="129" spans="1:14">
      <c r="A129" s="10"/>
      <c r="B129" s="11" t="s">
        <v>255</v>
      </c>
      <c r="C129" s="5" t="str">
        <f>IF('Besluit bodemkwaliteit'!H152="X",1,IF('Besluit bodemkwaliteit'!H152="2x",10,""))</f>
        <v/>
      </c>
      <c r="D129" s="5" t="str">
        <f>IF('Besluit bodemkwaliteit'!I152="X",1,IF('Besluit bodemkwaliteit'!I152="@",10,""))</f>
        <v/>
      </c>
      <c r="E129" s="5" t="str">
        <f>IF('Besluit bodemkwaliteit'!J152="X",1,"")</f>
        <v/>
      </c>
      <c r="F129" s="5" t="str">
        <f>IF('Besluit bodemkwaliteit'!K152="X",1,"")</f>
        <v/>
      </c>
      <c r="G129" s="5" t="str">
        <f>IF('Besluit bodemkwaliteit'!L152="X",1,"")</f>
        <v/>
      </c>
      <c r="H129" s="5" t="str">
        <f>IF('Besluit bodemkwaliteit'!M152="X",1,"")</f>
        <v/>
      </c>
      <c r="I129" s="5" t="str">
        <f>IF('Besluit bodemkwaliteit'!N152="X",1,"")</f>
        <v/>
      </c>
      <c r="J129" s="5" t="str">
        <f>IF('Besluit bodemkwaliteit'!O152="X",1,"")</f>
        <v/>
      </c>
      <c r="K129" s="5" t="str">
        <f>IF('Besluit bodemkwaliteit'!P152="X",1,"")</f>
        <v/>
      </c>
      <c r="L129" s="5" t="str">
        <f>IF('Besluit bodemkwaliteit'!Q152="X",1,"")</f>
        <v/>
      </c>
      <c r="M129" s="5" t="str">
        <f>IF('Besluit bodemkwaliteit'!R152="X",1,"")</f>
        <v/>
      </c>
      <c r="N129" s="5" t="str">
        <f>IF('Besluit bodemkwaliteit'!S152="X",1,"")</f>
        <v/>
      </c>
    </row>
    <row r="130" spans="1:14">
      <c r="A130" s="10"/>
      <c r="B130" s="11" t="s">
        <v>100</v>
      </c>
      <c r="C130" s="5" t="str">
        <f>IF('Besluit bodemkwaliteit'!H153="X",1,IF('Besluit bodemkwaliteit'!H153="2x",10,""))</f>
        <v/>
      </c>
      <c r="D130" s="5" t="str">
        <f>IF('Besluit bodemkwaliteit'!I153="X",1,IF('Besluit bodemkwaliteit'!I153="@",10,""))</f>
        <v/>
      </c>
      <c r="E130" s="5" t="str">
        <f>IF('Besluit bodemkwaliteit'!J153="X",1,"")</f>
        <v/>
      </c>
      <c r="F130" s="5" t="str">
        <f>IF('Besluit bodemkwaliteit'!K153="X",1,"")</f>
        <v/>
      </c>
      <c r="G130" s="5" t="str">
        <f>IF('Besluit bodemkwaliteit'!L153="X",1,"")</f>
        <v/>
      </c>
      <c r="H130" s="5" t="str">
        <f>IF('Besluit bodemkwaliteit'!M153="X",1,"")</f>
        <v/>
      </c>
      <c r="I130" s="5" t="str">
        <f>IF('Besluit bodemkwaliteit'!N153="X",1,"")</f>
        <v/>
      </c>
      <c r="J130" s="5" t="str">
        <f>IF('Besluit bodemkwaliteit'!O153="X",1,"")</f>
        <v/>
      </c>
      <c r="K130" s="5" t="str">
        <f>IF('Besluit bodemkwaliteit'!P153="X",1,"")</f>
        <v/>
      </c>
      <c r="L130" s="5" t="str">
        <f>IF('Besluit bodemkwaliteit'!Q153="X",1,"")</f>
        <v/>
      </c>
      <c r="M130" s="5" t="str">
        <f>IF('Besluit bodemkwaliteit'!R153="X",1,"")</f>
        <v/>
      </c>
      <c r="N130" s="5" t="str">
        <f>IF('Besluit bodemkwaliteit'!S153="X",1,"")</f>
        <v/>
      </c>
    </row>
    <row r="131" spans="1:14">
      <c r="A131" s="10"/>
      <c r="B131" s="11" t="s">
        <v>101</v>
      </c>
      <c r="C131" s="5" t="str">
        <f>IF('Besluit bodemkwaliteit'!H154="X",1,IF('Besluit bodemkwaliteit'!H154="2x",10,""))</f>
        <v/>
      </c>
      <c r="D131" s="5" t="str">
        <f>IF('Besluit bodemkwaliteit'!I154="X",1,IF('Besluit bodemkwaliteit'!I154="@",10,""))</f>
        <v/>
      </c>
      <c r="E131" s="5" t="str">
        <f>IF('Besluit bodemkwaliteit'!J154="X",1,"")</f>
        <v/>
      </c>
      <c r="F131" s="5" t="str">
        <f>IF('Besluit bodemkwaliteit'!K154="X",1,"")</f>
        <v/>
      </c>
      <c r="G131" s="5" t="str">
        <f>IF('Besluit bodemkwaliteit'!L154="X",1,"")</f>
        <v/>
      </c>
      <c r="H131" s="5" t="str">
        <f>IF('Besluit bodemkwaliteit'!M154="X",1,"")</f>
        <v/>
      </c>
      <c r="I131" s="5" t="str">
        <f>IF('Besluit bodemkwaliteit'!N154="X",1,"")</f>
        <v/>
      </c>
      <c r="J131" s="5" t="str">
        <f>IF('Besluit bodemkwaliteit'!O154="X",1,"")</f>
        <v/>
      </c>
      <c r="K131" s="5" t="str">
        <f>IF('Besluit bodemkwaliteit'!P154="X",1,"")</f>
        <v/>
      </c>
      <c r="L131" s="5" t="str">
        <f>IF('Besluit bodemkwaliteit'!Q154="X",1,"")</f>
        <v/>
      </c>
      <c r="M131" s="5" t="str">
        <f>IF('Besluit bodemkwaliteit'!R154="X",1,"")</f>
        <v/>
      </c>
      <c r="N131" s="5" t="str">
        <f>IF('Besluit bodemkwaliteit'!S154="X",1,"")</f>
        <v/>
      </c>
    </row>
    <row r="132" spans="1:14">
      <c r="A132" s="10"/>
      <c r="B132" s="11" t="s">
        <v>102</v>
      </c>
      <c r="C132" s="5" t="str">
        <f>IF('Besluit bodemkwaliteit'!H155="X",1,IF('Besluit bodemkwaliteit'!H155="2x",10,""))</f>
        <v/>
      </c>
      <c r="D132" s="5" t="str">
        <f>IF('Besluit bodemkwaliteit'!I155="X",1,IF('Besluit bodemkwaliteit'!I155="@",10,""))</f>
        <v/>
      </c>
      <c r="E132" s="5" t="str">
        <f>IF('Besluit bodemkwaliteit'!J155="X",1,"")</f>
        <v/>
      </c>
      <c r="F132" s="5" t="str">
        <f>IF('Besluit bodemkwaliteit'!K155="X",1,"")</f>
        <v/>
      </c>
      <c r="G132" s="5" t="str">
        <f>IF('Besluit bodemkwaliteit'!L155="X",1,"")</f>
        <v/>
      </c>
      <c r="H132" s="5" t="str">
        <f>IF('Besluit bodemkwaliteit'!M155="X",1,"")</f>
        <v/>
      </c>
      <c r="I132" s="5" t="str">
        <f>IF('Besluit bodemkwaliteit'!N155="X",1,"")</f>
        <v/>
      </c>
      <c r="J132" s="5" t="str">
        <f>IF('Besluit bodemkwaliteit'!O155="X",1,"")</f>
        <v/>
      </c>
      <c r="K132" s="5" t="str">
        <f>IF('Besluit bodemkwaliteit'!P155="X",1,"")</f>
        <v/>
      </c>
      <c r="L132" s="5" t="str">
        <f>IF('Besluit bodemkwaliteit'!Q155="X",1,"")</f>
        <v/>
      </c>
      <c r="M132" s="5" t="str">
        <f>IF('Besluit bodemkwaliteit'!R155="X",1,"")</f>
        <v/>
      </c>
      <c r="N132" s="5" t="str">
        <f>IF('Besluit bodemkwaliteit'!S155="X",1,"")</f>
        <v/>
      </c>
    </row>
    <row r="133" spans="1:14">
      <c r="A133" s="10"/>
      <c r="B133" s="11" t="s">
        <v>103</v>
      </c>
      <c r="C133" s="5" t="str">
        <f>IF('Besluit bodemkwaliteit'!H156="X",1,IF('Besluit bodemkwaliteit'!H156="2x",10,""))</f>
        <v/>
      </c>
      <c r="D133" s="5" t="str">
        <f>IF('Besluit bodemkwaliteit'!I156="X",1,IF('Besluit bodemkwaliteit'!I156="@",10,""))</f>
        <v/>
      </c>
      <c r="E133" s="5" t="str">
        <f>IF('Besluit bodemkwaliteit'!J156="X",1,"")</f>
        <v/>
      </c>
      <c r="F133" s="5" t="str">
        <f>IF('Besluit bodemkwaliteit'!K156="X",1,"")</f>
        <v/>
      </c>
      <c r="G133" s="5" t="str">
        <f>IF('Besluit bodemkwaliteit'!L156="X",1,"")</f>
        <v/>
      </c>
      <c r="H133" s="5" t="str">
        <f>IF('Besluit bodemkwaliteit'!M156="X",1,"")</f>
        <v/>
      </c>
      <c r="I133" s="5" t="str">
        <f>IF('Besluit bodemkwaliteit'!N156="X",1,"")</f>
        <v/>
      </c>
      <c r="J133" s="5" t="str">
        <f>IF('Besluit bodemkwaliteit'!O156="X",1,"")</f>
        <v/>
      </c>
      <c r="K133" s="5" t="str">
        <f>IF('Besluit bodemkwaliteit'!P156="X",1,"")</f>
        <v/>
      </c>
      <c r="L133" s="5" t="str">
        <f>IF('Besluit bodemkwaliteit'!Q156="X",1,"")</f>
        <v/>
      </c>
      <c r="M133" s="5" t="str">
        <f>IF('Besluit bodemkwaliteit'!R156="X",1,"")</f>
        <v/>
      </c>
      <c r="N133" s="5" t="str">
        <f>IF('Besluit bodemkwaliteit'!S156="X",1,"")</f>
        <v/>
      </c>
    </row>
    <row r="134" spans="1:14">
      <c r="A134" s="10"/>
      <c r="B134" s="11" t="s">
        <v>105</v>
      </c>
      <c r="C134" s="5" t="str">
        <f>IF('Besluit bodemkwaliteit'!H157="X",1,IF('Besluit bodemkwaliteit'!H157="2x",10,""))</f>
        <v/>
      </c>
      <c r="D134" s="5" t="str">
        <f>IF('Besluit bodemkwaliteit'!I157="X",1,IF('Besluit bodemkwaliteit'!I157="@",10,""))</f>
        <v/>
      </c>
      <c r="E134" s="5" t="str">
        <f>IF('Besluit bodemkwaliteit'!J157="X",1,"")</f>
        <v/>
      </c>
      <c r="F134" s="5" t="str">
        <f>IF('Besluit bodemkwaliteit'!K157="X",1,"")</f>
        <v/>
      </c>
      <c r="G134" s="5" t="str">
        <f>IF('Besluit bodemkwaliteit'!L157="X",1,"")</f>
        <v/>
      </c>
      <c r="H134" s="5" t="str">
        <f>IF('Besluit bodemkwaliteit'!M157="X",1,"")</f>
        <v/>
      </c>
      <c r="I134" s="5" t="str">
        <f>IF('Besluit bodemkwaliteit'!N157="X",1,"")</f>
        <v/>
      </c>
      <c r="J134" s="5" t="str">
        <f>IF('Besluit bodemkwaliteit'!O157="X",1,"")</f>
        <v/>
      </c>
      <c r="K134" s="5" t="str">
        <f>IF('Besluit bodemkwaliteit'!P157="X",1,"")</f>
        <v/>
      </c>
      <c r="L134" s="5" t="str">
        <f>IF('Besluit bodemkwaliteit'!Q157="X",1,"")</f>
        <v/>
      </c>
      <c r="M134" s="5" t="str">
        <f>IF('Besluit bodemkwaliteit'!R157="X",1,"")</f>
        <v/>
      </c>
      <c r="N134" s="5" t="str">
        <f>IF('Besluit bodemkwaliteit'!S157="X",1,"")</f>
        <v/>
      </c>
    </row>
    <row r="135" spans="1:14">
      <c r="A135" s="10"/>
      <c r="B135" s="11" t="s">
        <v>104</v>
      </c>
      <c r="C135" s="5" t="str">
        <f>IF('Besluit bodemkwaliteit'!H158="X",1,IF('Besluit bodemkwaliteit'!H158="2x",10,""))</f>
        <v/>
      </c>
      <c r="D135" s="5" t="str">
        <f>IF('Besluit bodemkwaliteit'!I158="X",1,IF('Besluit bodemkwaliteit'!I158="@",10,""))</f>
        <v/>
      </c>
      <c r="E135" s="5" t="str">
        <f>IF('Besluit bodemkwaliteit'!J158="X",1,"")</f>
        <v/>
      </c>
      <c r="F135" s="5" t="str">
        <f>IF('Besluit bodemkwaliteit'!K158="X",1,"")</f>
        <v/>
      </c>
      <c r="G135" s="5" t="str">
        <f>IF('Besluit bodemkwaliteit'!L158="X",1,"")</f>
        <v/>
      </c>
      <c r="H135" s="5" t="str">
        <f>IF('Besluit bodemkwaliteit'!M158="X",1,"")</f>
        <v/>
      </c>
      <c r="I135" s="5" t="str">
        <f>IF('Besluit bodemkwaliteit'!N158="X",1,"")</f>
        <v/>
      </c>
      <c r="J135" s="5" t="str">
        <f>IF('Besluit bodemkwaliteit'!O158="X",1,"")</f>
        <v/>
      </c>
      <c r="K135" s="5" t="str">
        <f>IF('Besluit bodemkwaliteit'!P158="X",1,"")</f>
        <v/>
      </c>
      <c r="L135" s="5" t="str">
        <f>IF('Besluit bodemkwaliteit'!Q158="X",1,"")</f>
        <v/>
      </c>
      <c r="M135" s="5" t="str">
        <f>IF('Besluit bodemkwaliteit'!R158="X",1,"")</f>
        <v/>
      </c>
      <c r="N135" s="5" t="str">
        <f>IF('Besluit bodemkwaliteit'!S158="X",1,"")</f>
        <v/>
      </c>
    </row>
    <row r="136" spans="1:14">
      <c r="A136" s="10"/>
      <c r="B136" s="11" t="s">
        <v>106</v>
      </c>
      <c r="C136" s="5" t="str">
        <f>IF('Besluit bodemkwaliteit'!H159="X",1,IF('Besluit bodemkwaliteit'!H159="2x",10,""))</f>
        <v/>
      </c>
      <c r="D136" s="5" t="str">
        <f>IF('Besluit bodemkwaliteit'!I159="X",1,IF('Besluit bodemkwaliteit'!I159="@",10,""))</f>
        <v/>
      </c>
      <c r="E136" s="5" t="str">
        <f>IF('Besluit bodemkwaliteit'!J159="X",1,"")</f>
        <v/>
      </c>
      <c r="F136" s="5" t="str">
        <f>IF('Besluit bodemkwaliteit'!K159="X",1,"")</f>
        <v/>
      </c>
      <c r="G136" s="5" t="str">
        <f>IF('Besluit bodemkwaliteit'!L159="X",1,"")</f>
        <v/>
      </c>
      <c r="H136" s="5" t="str">
        <f>IF('Besluit bodemkwaliteit'!M159="X",1,"")</f>
        <v/>
      </c>
      <c r="I136" s="5" t="str">
        <f>IF('Besluit bodemkwaliteit'!N159="X",1,"")</f>
        <v/>
      </c>
      <c r="J136" s="5" t="str">
        <f>IF('Besluit bodemkwaliteit'!O159="X",1,"")</f>
        <v/>
      </c>
      <c r="K136" s="5" t="str">
        <f>IF('Besluit bodemkwaliteit'!P159="X",1,"")</f>
        <v/>
      </c>
      <c r="L136" s="5" t="str">
        <f>IF('Besluit bodemkwaliteit'!Q159="X",1,"")</f>
        <v/>
      </c>
      <c r="M136" s="5" t="str">
        <f>IF('Besluit bodemkwaliteit'!R159="X",1,"")</f>
        <v/>
      </c>
      <c r="N136" s="5" t="str">
        <f>IF('Besluit bodemkwaliteit'!S159="X",1,"")</f>
        <v/>
      </c>
    </row>
    <row r="137" spans="1:14">
      <c r="A137" s="10"/>
      <c r="B137" s="11" t="s">
        <v>107</v>
      </c>
      <c r="C137" s="5" t="str">
        <f>IF('Besluit bodemkwaliteit'!H160="X",1,IF('Besluit bodemkwaliteit'!H160="2x",10,""))</f>
        <v/>
      </c>
      <c r="D137" s="5" t="str">
        <f>IF('Besluit bodemkwaliteit'!I160="X",1,IF('Besluit bodemkwaliteit'!I160="@",10,""))</f>
        <v/>
      </c>
      <c r="E137" s="5" t="str">
        <f>IF('Besluit bodemkwaliteit'!J160="X",1,"")</f>
        <v/>
      </c>
      <c r="F137" s="5" t="str">
        <f>IF('Besluit bodemkwaliteit'!K160="X",1,"")</f>
        <v/>
      </c>
      <c r="G137" s="5" t="str">
        <f>IF('Besluit bodemkwaliteit'!L160="X",1,"")</f>
        <v/>
      </c>
      <c r="H137" s="5" t="str">
        <f>IF('Besluit bodemkwaliteit'!M160="X",1,"")</f>
        <v/>
      </c>
      <c r="I137" s="5" t="str">
        <f>IF('Besluit bodemkwaliteit'!N160="X",1,"")</f>
        <v/>
      </c>
      <c r="J137" s="5" t="str">
        <f>IF('Besluit bodemkwaliteit'!O160="X",1,"")</f>
        <v/>
      </c>
      <c r="K137" s="5" t="str">
        <f>IF('Besluit bodemkwaliteit'!P160="X",1,"")</f>
        <v/>
      </c>
      <c r="L137" s="5" t="str">
        <f>IF('Besluit bodemkwaliteit'!Q160="X",1,"")</f>
        <v/>
      </c>
      <c r="M137" s="5" t="str">
        <f>IF('Besluit bodemkwaliteit'!R160="X",1,"")</f>
        <v/>
      </c>
      <c r="N137" s="5" t="str">
        <f>IF('Besluit bodemkwaliteit'!S160="X",1,"")</f>
        <v/>
      </c>
    </row>
    <row r="138" spans="1:14">
      <c r="A138" s="10"/>
      <c r="B138" s="11" t="s">
        <v>108</v>
      </c>
      <c r="C138" s="5" t="str">
        <f>IF('Besluit bodemkwaliteit'!H161="X",1,IF('Besluit bodemkwaliteit'!H161="2x",10,""))</f>
        <v/>
      </c>
      <c r="D138" s="5" t="str">
        <f>IF('Besluit bodemkwaliteit'!I161="X",1,IF('Besluit bodemkwaliteit'!I161="@",10,""))</f>
        <v/>
      </c>
      <c r="E138" s="5" t="str">
        <f>IF('Besluit bodemkwaliteit'!J161="X",1,"")</f>
        <v/>
      </c>
      <c r="F138" s="5" t="str">
        <f>IF('Besluit bodemkwaliteit'!K161="X",1,"")</f>
        <v/>
      </c>
      <c r="G138" s="5" t="str">
        <f>IF('Besluit bodemkwaliteit'!L161="X",1,"")</f>
        <v/>
      </c>
      <c r="H138" s="5" t="str">
        <f>IF('Besluit bodemkwaliteit'!M161="X",1,"")</f>
        <v/>
      </c>
      <c r="I138" s="5" t="str">
        <f>IF('Besluit bodemkwaliteit'!N161="X",1,"")</f>
        <v/>
      </c>
      <c r="J138" s="5" t="str">
        <f>IF('Besluit bodemkwaliteit'!O161="X",1,"")</f>
        <v/>
      </c>
      <c r="K138" s="5" t="str">
        <f>IF('Besluit bodemkwaliteit'!P161="X",1,"")</f>
        <v/>
      </c>
      <c r="L138" s="5" t="str">
        <f>IF('Besluit bodemkwaliteit'!Q161="X",1,"")</f>
        <v/>
      </c>
      <c r="M138" s="5" t="str">
        <f>IF('Besluit bodemkwaliteit'!R161="X",1,"")</f>
        <v/>
      </c>
      <c r="N138" s="5" t="str">
        <f>IF('Besluit bodemkwaliteit'!S161="X",1,"")</f>
        <v/>
      </c>
    </row>
    <row r="139" spans="1:14">
      <c r="A139" s="10"/>
      <c r="B139" s="11" t="s">
        <v>109</v>
      </c>
      <c r="C139" s="5" t="str">
        <f>IF('Besluit bodemkwaliteit'!H162="X",1,IF('Besluit bodemkwaliteit'!H162="2x",10,""))</f>
        <v/>
      </c>
      <c r="D139" s="5" t="str">
        <f>IF('Besluit bodemkwaliteit'!I162="X",1,IF('Besluit bodemkwaliteit'!I162="@",10,""))</f>
        <v/>
      </c>
      <c r="E139" s="5" t="str">
        <f>IF('Besluit bodemkwaliteit'!J162="X",1,"")</f>
        <v/>
      </c>
      <c r="F139" s="5" t="str">
        <f>IF('Besluit bodemkwaliteit'!K162="X",1,"")</f>
        <v/>
      </c>
      <c r="G139" s="5" t="str">
        <f>IF('Besluit bodemkwaliteit'!L162="X",1,"")</f>
        <v/>
      </c>
      <c r="H139" s="5" t="str">
        <f>IF('Besluit bodemkwaliteit'!M162="X",1,"")</f>
        <v/>
      </c>
      <c r="I139" s="5" t="str">
        <f>IF('Besluit bodemkwaliteit'!N162="X",1,"")</f>
        <v/>
      </c>
      <c r="J139" s="5" t="str">
        <f>IF('Besluit bodemkwaliteit'!O162="X",1,"")</f>
        <v/>
      </c>
      <c r="K139" s="5" t="str">
        <f>IF('Besluit bodemkwaliteit'!P162="X",1,"")</f>
        <v/>
      </c>
      <c r="L139" s="5" t="str">
        <f>IF('Besluit bodemkwaliteit'!Q162="X",1,"")</f>
        <v/>
      </c>
      <c r="M139" s="5" t="str">
        <f>IF('Besluit bodemkwaliteit'!R162="X",1,"")</f>
        <v/>
      </c>
      <c r="N139" s="5" t="str">
        <f>IF('Besluit bodemkwaliteit'!S162="X",1,"")</f>
        <v/>
      </c>
    </row>
    <row r="140" spans="1:14">
      <c r="A140" s="10"/>
      <c r="B140" s="11" t="s">
        <v>110</v>
      </c>
      <c r="C140" s="5" t="str">
        <f>IF('Besluit bodemkwaliteit'!H163="X",1,IF('Besluit bodemkwaliteit'!H163="2x",10,""))</f>
        <v/>
      </c>
      <c r="D140" s="5" t="str">
        <f>IF('Besluit bodemkwaliteit'!I163="X",1,IF('Besluit bodemkwaliteit'!I163="@",10,""))</f>
        <v/>
      </c>
      <c r="E140" s="5" t="str">
        <f>IF('Besluit bodemkwaliteit'!J163="X",1,"")</f>
        <v/>
      </c>
      <c r="F140" s="5" t="str">
        <f>IF('Besluit bodemkwaliteit'!K163="X",1,"")</f>
        <v/>
      </c>
      <c r="G140" s="5" t="str">
        <f>IF('Besluit bodemkwaliteit'!L163="X",1,"")</f>
        <v/>
      </c>
      <c r="H140" s="5" t="str">
        <f>IF('Besluit bodemkwaliteit'!M163="X",1,"")</f>
        <v/>
      </c>
      <c r="I140" s="5" t="str">
        <f>IF('Besluit bodemkwaliteit'!N163="X",1,"")</f>
        <v/>
      </c>
      <c r="J140" s="5" t="str">
        <f>IF('Besluit bodemkwaliteit'!O163="X",1,"")</f>
        <v/>
      </c>
      <c r="K140" s="5" t="str">
        <f>IF('Besluit bodemkwaliteit'!P163="X",1,"")</f>
        <v/>
      </c>
      <c r="L140" s="5" t="str">
        <f>IF('Besluit bodemkwaliteit'!Q163="X",1,"")</f>
        <v/>
      </c>
      <c r="M140" s="5" t="str">
        <f>IF('Besluit bodemkwaliteit'!R163="X",1,"")</f>
        <v/>
      </c>
      <c r="N140" s="5" t="str">
        <f>IF('Besluit bodemkwaliteit'!S163="X",1,"")</f>
        <v/>
      </c>
    </row>
    <row r="141" spans="1:14">
      <c r="A141" s="10"/>
      <c r="B141" s="11"/>
    </row>
    <row r="142" spans="1:14">
      <c r="A142" s="10" t="s">
        <v>67</v>
      </c>
      <c r="B142" s="35" t="s">
        <v>112</v>
      </c>
    </row>
    <row r="143" spans="1:14">
      <c r="A143" s="10"/>
      <c r="B143" s="11" t="s">
        <v>176</v>
      </c>
      <c r="C143" s="5" t="str">
        <f>IF('Besluit bodemkwaliteit'!H166="X",1,IF('Besluit bodemkwaliteit'!H166="2x",10,""))</f>
        <v/>
      </c>
      <c r="D143" s="5" t="str">
        <f>IF('Besluit bodemkwaliteit'!I166="X",1,IF('Besluit bodemkwaliteit'!I166="@",10,""))</f>
        <v/>
      </c>
      <c r="E143" s="5" t="str">
        <f>IF('Besluit bodemkwaliteit'!J166="X",1,"")</f>
        <v/>
      </c>
      <c r="F143" s="5" t="str">
        <f>IF('Besluit bodemkwaliteit'!K166="X",1,"")</f>
        <v/>
      </c>
      <c r="G143" s="5" t="str">
        <f>IF('Besluit bodemkwaliteit'!L166="X",1,"")</f>
        <v/>
      </c>
      <c r="H143" s="5" t="str">
        <f>IF('Besluit bodemkwaliteit'!M166="X",1,"")</f>
        <v/>
      </c>
      <c r="I143" s="5" t="str">
        <f>IF('Besluit bodemkwaliteit'!N166="X",1,"")</f>
        <v/>
      </c>
      <c r="J143" s="5" t="str">
        <f>IF('Besluit bodemkwaliteit'!O166="X",1,"")</f>
        <v/>
      </c>
      <c r="K143" s="5" t="str">
        <f>IF('Besluit bodemkwaliteit'!P166="X",1,"")</f>
        <v/>
      </c>
      <c r="L143" s="5" t="str">
        <f>IF('Besluit bodemkwaliteit'!Q166="X",1,"")</f>
        <v/>
      </c>
      <c r="M143" s="5" t="str">
        <f>IF('Besluit bodemkwaliteit'!R166="X",1,"")</f>
        <v/>
      </c>
      <c r="N143" s="5" t="str">
        <f>IF('Besluit bodemkwaliteit'!S166="X",1,"")</f>
        <v/>
      </c>
    </row>
    <row r="144" spans="1:14">
      <c r="A144" s="10"/>
      <c r="B144" s="11"/>
    </row>
    <row r="145" spans="1:14">
      <c r="A145" s="10" t="s">
        <v>72</v>
      </c>
      <c r="B145" s="35" t="s">
        <v>113</v>
      </c>
    </row>
    <row r="146" spans="1:14">
      <c r="A146" s="10"/>
      <c r="B146" s="11" t="s">
        <v>114</v>
      </c>
      <c r="C146" s="5" t="str">
        <f>IF('Besluit bodemkwaliteit'!H169="X",1,IF('Besluit bodemkwaliteit'!H169="2x",10,""))</f>
        <v/>
      </c>
      <c r="D146" s="5" t="str">
        <f>IF('Besluit bodemkwaliteit'!I169="X",1,IF('Besluit bodemkwaliteit'!I169="@",10,""))</f>
        <v/>
      </c>
      <c r="E146" s="5" t="str">
        <f>IF('Besluit bodemkwaliteit'!J169="X",1,"")</f>
        <v/>
      </c>
      <c r="F146" s="5" t="str">
        <f>IF('Besluit bodemkwaliteit'!K169="X",1,"")</f>
        <v/>
      </c>
      <c r="G146" s="5" t="str">
        <f>IF('Besluit bodemkwaliteit'!L169="X",1,"")</f>
        <v/>
      </c>
      <c r="H146" s="5" t="str">
        <f>IF('Besluit bodemkwaliteit'!M169="X",1,"")</f>
        <v/>
      </c>
      <c r="I146" s="5" t="str">
        <f>IF('Besluit bodemkwaliteit'!N169="X",1,"")</f>
        <v/>
      </c>
      <c r="J146" s="5" t="str">
        <f>IF('Besluit bodemkwaliteit'!O169="X",1,"")</f>
        <v/>
      </c>
      <c r="K146" s="5" t="str">
        <f>IF('Besluit bodemkwaliteit'!P169="X",1,"")</f>
        <v/>
      </c>
      <c r="L146" s="5" t="str">
        <f>IF('Besluit bodemkwaliteit'!Q169="X",1,"")</f>
        <v/>
      </c>
      <c r="M146" s="5" t="str">
        <f>IF('Besluit bodemkwaliteit'!R169="X",1,"")</f>
        <v/>
      </c>
      <c r="N146" s="5" t="str">
        <f>IF('Besluit bodemkwaliteit'!S169="X",1,"")</f>
        <v/>
      </c>
    </row>
    <row r="147" spans="1:14">
      <c r="A147" s="10"/>
      <c r="B147" s="11" t="s">
        <v>115</v>
      </c>
      <c r="C147" s="5" t="str">
        <f>IF('Besluit bodemkwaliteit'!H170="X",1,IF('Besluit bodemkwaliteit'!H170="2x",10,""))</f>
        <v/>
      </c>
      <c r="D147" s="5" t="str">
        <f>IF('Besluit bodemkwaliteit'!I170="X",1,IF('Besluit bodemkwaliteit'!I170="@",10,""))</f>
        <v/>
      </c>
      <c r="E147" s="5" t="str">
        <f>IF('Besluit bodemkwaliteit'!J170="X",1,"")</f>
        <v/>
      </c>
      <c r="F147" s="5" t="str">
        <f>IF('Besluit bodemkwaliteit'!K170="X",1,"")</f>
        <v/>
      </c>
      <c r="G147" s="5" t="str">
        <f>IF('Besluit bodemkwaliteit'!L170="X",1,"")</f>
        <v/>
      </c>
      <c r="H147" s="5" t="str">
        <f>IF('Besluit bodemkwaliteit'!M170="X",1,"")</f>
        <v/>
      </c>
      <c r="I147" s="5" t="str">
        <f>IF('Besluit bodemkwaliteit'!N170="X",1,"")</f>
        <v/>
      </c>
      <c r="J147" s="5" t="str">
        <f>IF('Besluit bodemkwaliteit'!O170="X",1,"")</f>
        <v/>
      </c>
      <c r="K147" s="5" t="str">
        <f>IF('Besluit bodemkwaliteit'!P170="X",1,"")</f>
        <v/>
      </c>
      <c r="L147" s="5" t="str">
        <f>IF('Besluit bodemkwaliteit'!Q170="X",1,"")</f>
        <v/>
      </c>
      <c r="M147" s="5" t="str">
        <f>IF('Besluit bodemkwaliteit'!R170="X",1,"")</f>
        <v/>
      </c>
      <c r="N147" s="5" t="str">
        <f>IF('Besluit bodemkwaliteit'!S170="X",1,"")</f>
        <v/>
      </c>
    </row>
    <row r="148" spans="1:14">
      <c r="A148" s="10"/>
      <c r="B148" s="11" t="s">
        <v>187</v>
      </c>
      <c r="C148" s="5" t="str">
        <f>IF('Besluit bodemkwaliteit'!H171="X",1,IF('Besluit bodemkwaliteit'!H171="2x",10,""))</f>
        <v/>
      </c>
      <c r="D148" s="5" t="str">
        <f>IF('Besluit bodemkwaliteit'!I171="X",1,IF('Besluit bodemkwaliteit'!I171="@",10,""))</f>
        <v/>
      </c>
      <c r="E148" s="5" t="str">
        <f>IF('Besluit bodemkwaliteit'!J171="X",1,"")</f>
        <v/>
      </c>
      <c r="F148" s="5" t="str">
        <f>IF('Besluit bodemkwaliteit'!K171="X",1,"")</f>
        <v/>
      </c>
      <c r="G148" s="5" t="str">
        <f>IF('Besluit bodemkwaliteit'!L171="X",1,"")</f>
        <v/>
      </c>
      <c r="H148" s="5" t="str">
        <f>IF('Besluit bodemkwaliteit'!M171="X",1,"")</f>
        <v/>
      </c>
      <c r="I148" s="5" t="str">
        <f>IF('Besluit bodemkwaliteit'!N171="X",1,"")</f>
        <v/>
      </c>
      <c r="J148" s="5" t="str">
        <f>IF('Besluit bodemkwaliteit'!O171="X",1,"")</f>
        <v/>
      </c>
      <c r="K148" s="5" t="str">
        <f>IF('Besluit bodemkwaliteit'!P171="X",1,"")</f>
        <v/>
      </c>
      <c r="L148" s="5" t="str">
        <f>IF('Besluit bodemkwaliteit'!Q171="X",1,"")</f>
        <v/>
      </c>
      <c r="M148" s="5" t="str">
        <f>IF('Besluit bodemkwaliteit'!R171="X",1,"")</f>
        <v/>
      </c>
      <c r="N148" s="5" t="str">
        <f>IF('Besluit bodemkwaliteit'!S171="X",1,"")</f>
        <v/>
      </c>
    </row>
    <row r="149" spans="1:14">
      <c r="A149" s="10"/>
      <c r="B149" s="11" t="s">
        <v>197</v>
      </c>
      <c r="C149" s="5" t="str">
        <f>IF('Besluit bodemkwaliteit'!H172="X",1,IF('Besluit bodemkwaliteit'!H172="2x",10,""))</f>
        <v/>
      </c>
      <c r="D149" s="5" t="str">
        <f>IF('Besluit bodemkwaliteit'!I172="X",1,IF('Besluit bodemkwaliteit'!I172="@",10,""))</f>
        <v/>
      </c>
      <c r="E149" s="5" t="str">
        <f>IF('Besluit bodemkwaliteit'!J172="X",1,"")</f>
        <v/>
      </c>
      <c r="F149" s="5" t="str">
        <f>IF('Besluit bodemkwaliteit'!K172="X",1,"")</f>
        <v/>
      </c>
      <c r="G149" s="5" t="str">
        <f>IF('Besluit bodemkwaliteit'!L172="X",1,"")</f>
        <v/>
      </c>
      <c r="H149" s="5" t="str">
        <f>IF('Besluit bodemkwaliteit'!M172="X",1,"")</f>
        <v/>
      </c>
      <c r="I149" s="5" t="str">
        <f>IF('Besluit bodemkwaliteit'!N172="X",1,"")</f>
        <v/>
      </c>
      <c r="J149" s="5" t="str">
        <f>IF('Besluit bodemkwaliteit'!O172="X",1,"")</f>
        <v/>
      </c>
      <c r="K149" s="5" t="str">
        <f>IF('Besluit bodemkwaliteit'!P172="X",1,"")</f>
        <v/>
      </c>
      <c r="L149" s="5" t="str">
        <f>IF('Besluit bodemkwaliteit'!Q172="X",1,"")</f>
        <v/>
      </c>
      <c r="M149" s="5" t="str">
        <f>IF('Besluit bodemkwaliteit'!R172="X",1,"")</f>
        <v/>
      </c>
      <c r="N149" s="5" t="str">
        <f>IF('Besluit bodemkwaliteit'!S172="X",1,"")</f>
        <v/>
      </c>
    </row>
    <row r="150" spans="1:14">
      <c r="A150" s="10"/>
      <c r="B150" s="11"/>
    </row>
    <row r="151" spans="1:14">
      <c r="A151" s="10" t="s">
        <v>76</v>
      </c>
      <c r="B151" s="35" t="s">
        <v>116</v>
      </c>
    </row>
    <row r="152" spans="1:14">
      <c r="A152" s="10"/>
      <c r="B152" s="11" t="s">
        <v>117</v>
      </c>
      <c r="C152" s="5" t="str">
        <f>IF('Besluit bodemkwaliteit'!H175="X",1,IF('Besluit bodemkwaliteit'!H175="2x",10,""))</f>
        <v/>
      </c>
      <c r="D152" s="5" t="str">
        <f>IF('Besluit bodemkwaliteit'!I175="X",1,IF('Besluit bodemkwaliteit'!I175="@",10,""))</f>
        <v/>
      </c>
      <c r="E152" s="5" t="str">
        <f>IF('Besluit bodemkwaliteit'!J175="X",1,"")</f>
        <v/>
      </c>
      <c r="F152" s="5" t="str">
        <f>IF('Besluit bodemkwaliteit'!K175="X",1,"")</f>
        <v/>
      </c>
      <c r="G152" s="5" t="str">
        <f>IF('Besluit bodemkwaliteit'!L175="X",1,"")</f>
        <v/>
      </c>
      <c r="H152" s="5" t="str">
        <f>IF('Besluit bodemkwaliteit'!M175="X",1,"")</f>
        <v/>
      </c>
      <c r="I152" s="5" t="str">
        <f>IF('Besluit bodemkwaliteit'!N175="X",1,"")</f>
        <v/>
      </c>
      <c r="J152" s="5" t="str">
        <f>IF('Besluit bodemkwaliteit'!O175="X",1,"")</f>
        <v/>
      </c>
      <c r="K152" s="5" t="str">
        <f>IF('Besluit bodemkwaliteit'!P175="X",1,"")</f>
        <v/>
      </c>
      <c r="L152" s="5" t="str">
        <f>IF('Besluit bodemkwaliteit'!Q175="X",1,"")</f>
        <v/>
      </c>
      <c r="M152" s="5" t="str">
        <f>IF('Besluit bodemkwaliteit'!R175="X",1,"")</f>
        <v/>
      </c>
      <c r="N152" s="5" t="str">
        <f>IF('Besluit bodemkwaliteit'!S175="X",1,"")</f>
        <v/>
      </c>
    </row>
    <row r="153" spans="1:14">
      <c r="A153" s="10"/>
      <c r="B153" s="11"/>
    </row>
    <row r="154" spans="1:14">
      <c r="A154" s="10" t="s">
        <v>86</v>
      </c>
      <c r="B154" s="35" t="s">
        <v>118</v>
      </c>
    </row>
    <row r="155" spans="1:14">
      <c r="A155" s="10"/>
      <c r="B155" s="11" t="s">
        <v>119</v>
      </c>
      <c r="C155" s="5" t="str">
        <f>IF('Besluit bodemkwaliteit'!H178="X",1,IF('Besluit bodemkwaliteit'!H178="2x",10,""))</f>
        <v/>
      </c>
      <c r="D155" s="5" t="str">
        <f>IF('Besluit bodemkwaliteit'!I178="X",1,IF('Besluit bodemkwaliteit'!I178="@",10,""))</f>
        <v/>
      </c>
      <c r="E155" s="5" t="str">
        <f>IF('Besluit bodemkwaliteit'!J178="X",1,"")</f>
        <v/>
      </c>
      <c r="F155" s="5" t="str">
        <f>IF('Besluit bodemkwaliteit'!K178="X",1,"")</f>
        <v/>
      </c>
      <c r="G155" s="5" t="str">
        <f>IF('Besluit bodemkwaliteit'!L178="X",1,"")</f>
        <v/>
      </c>
      <c r="H155" s="5" t="str">
        <f>IF('Besluit bodemkwaliteit'!M178="X",1,"")</f>
        <v/>
      </c>
      <c r="I155" s="5" t="str">
        <f>IF('Besluit bodemkwaliteit'!N178="X",1,"")</f>
        <v/>
      </c>
      <c r="J155" s="5" t="str">
        <f>IF('Besluit bodemkwaliteit'!O178="X",1,"")</f>
        <v/>
      </c>
      <c r="K155" s="5" t="str">
        <f>IF('Besluit bodemkwaliteit'!P178="X",1,"")</f>
        <v/>
      </c>
      <c r="L155" s="5" t="str">
        <f>IF('Besluit bodemkwaliteit'!Q178="X",1,"")</f>
        <v/>
      </c>
      <c r="M155" s="5" t="str">
        <f>IF('Besluit bodemkwaliteit'!R178="X",1,"")</f>
        <v/>
      </c>
      <c r="N155" s="5" t="str">
        <f>IF('Besluit bodemkwaliteit'!S178="X",1,"")</f>
        <v/>
      </c>
    </row>
    <row r="156" spans="1:14">
      <c r="A156" s="10"/>
      <c r="B156" s="11" t="s">
        <v>120</v>
      </c>
      <c r="C156" s="5" t="str">
        <f>IF('Besluit bodemkwaliteit'!H179="X",1,IF('Besluit bodemkwaliteit'!H179="2x",10,""))</f>
        <v/>
      </c>
      <c r="D156" s="5" t="str">
        <f>IF('Besluit bodemkwaliteit'!I179="X",1,IF('Besluit bodemkwaliteit'!I179="@",10,""))</f>
        <v/>
      </c>
      <c r="E156" s="5" t="str">
        <f>IF('Besluit bodemkwaliteit'!J179="X",1,"")</f>
        <v/>
      </c>
      <c r="F156" s="5" t="str">
        <f>IF('Besluit bodemkwaliteit'!K179="X",1,"")</f>
        <v/>
      </c>
      <c r="G156" s="5" t="str">
        <f>IF('Besluit bodemkwaliteit'!L179="X",1,"")</f>
        <v/>
      </c>
      <c r="H156" s="5" t="str">
        <f>IF('Besluit bodemkwaliteit'!M179="X",1,"")</f>
        <v/>
      </c>
      <c r="I156" s="5" t="str">
        <f>IF('Besluit bodemkwaliteit'!N179="X",1,"")</f>
        <v/>
      </c>
      <c r="J156" s="5" t="str">
        <f>IF('Besluit bodemkwaliteit'!O179="X",1,"")</f>
        <v/>
      </c>
      <c r="K156" s="5" t="str">
        <f>IF('Besluit bodemkwaliteit'!P179="X",1,"")</f>
        <v/>
      </c>
      <c r="L156" s="5" t="str">
        <f>IF('Besluit bodemkwaliteit'!Q179="X",1,"")</f>
        <v/>
      </c>
      <c r="M156" s="5" t="str">
        <f>IF('Besluit bodemkwaliteit'!R179="X",1,"")</f>
        <v/>
      </c>
      <c r="N156" s="5" t="str">
        <f>IF('Besluit bodemkwaliteit'!S179="X",1,"")</f>
        <v/>
      </c>
    </row>
    <row r="157" spans="1:14">
      <c r="A157" s="10"/>
      <c r="B157" s="11" t="s">
        <v>121</v>
      </c>
      <c r="C157" s="5" t="str">
        <f>IF('Besluit bodemkwaliteit'!H180="X",1,IF('Besluit bodemkwaliteit'!H180="2x",10,""))</f>
        <v/>
      </c>
      <c r="D157" s="5" t="str">
        <f>IF('Besluit bodemkwaliteit'!I180="X",1,IF('Besluit bodemkwaliteit'!I180="@",10,""))</f>
        <v/>
      </c>
      <c r="E157" s="5" t="str">
        <f>IF('Besluit bodemkwaliteit'!J180="X",1,"")</f>
        <v/>
      </c>
      <c r="F157" s="5" t="str">
        <f>IF('Besluit bodemkwaliteit'!K180="X",1,"")</f>
        <v/>
      </c>
      <c r="G157" s="5" t="str">
        <f>IF('Besluit bodemkwaliteit'!L180="X",1,"")</f>
        <v/>
      </c>
      <c r="H157" s="5" t="str">
        <f>IF('Besluit bodemkwaliteit'!M180="X",1,"")</f>
        <v/>
      </c>
      <c r="I157" s="5" t="str">
        <f>IF('Besluit bodemkwaliteit'!N180="X",1,"")</f>
        <v/>
      </c>
      <c r="J157" s="5" t="str">
        <f>IF('Besluit bodemkwaliteit'!O180="X",1,"")</f>
        <v/>
      </c>
      <c r="K157" s="5" t="str">
        <f>IF('Besluit bodemkwaliteit'!P180="X",1,"")</f>
        <v/>
      </c>
      <c r="L157" s="5" t="str">
        <f>IF('Besluit bodemkwaliteit'!Q180="X",1,"")</f>
        <v/>
      </c>
      <c r="M157" s="5" t="str">
        <f>IF('Besluit bodemkwaliteit'!R180="X",1,"")</f>
        <v/>
      </c>
      <c r="N157" s="5" t="str">
        <f>IF('Besluit bodemkwaliteit'!S180="X",1,"")</f>
        <v/>
      </c>
    </row>
    <row r="158" spans="1:14">
      <c r="A158" s="10"/>
      <c r="B158" s="11" t="s">
        <v>122</v>
      </c>
      <c r="C158" s="5" t="str">
        <f>IF('Besluit bodemkwaliteit'!H181="X",1,IF('Besluit bodemkwaliteit'!H181="2x",10,""))</f>
        <v/>
      </c>
      <c r="D158" s="5" t="str">
        <f>IF('Besluit bodemkwaliteit'!I181="X",1,IF('Besluit bodemkwaliteit'!I181="@",10,""))</f>
        <v/>
      </c>
      <c r="E158" s="5" t="str">
        <f>IF('Besluit bodemkwaliteit'!J181="X",1,"")</f>
        <v/>
      </c>
      <c r="F158" s="5" t="str">
        <f>IF('Besluit bodemkwaliteit'!K181="X",1,"")</f>
        <v/>
      </c>
      <c r="G158" s="5" t="str">
        <f>IF('Besluit bodemkwaliteit'!L181="X",1,"")</f>
        <v/>
      </c>
      <c r="H158" s="5" t="str">
        <f>IF('Besluit bodemkwaliteit'!M181="X",1,"")</f>
        <v/>
      </c>
      <c r="I158" s="5" t="str">
        <f>IF('Besluit bodemkwaliteit'!N181="X",1,"")</f>
        <v/>
      </c>
      <c r="J158" s="5" t="str">
        <f>IF('Besluit bodemkwaliteit'!O181="X",1,"")</f>
        <v/>
      </c>
      <c r="K158" s="5" t="str">
        <f>IF('Besluit bodemkwaliteit'!P181="X",1,"")</f>
        <v/>
      </c>
      <c r="L158" s="5" t="str">
        <f>IF('Besluit bodemkwaliteit'!Q181="X",1,"")</f>
        <v/>
      </c>
      <c r="M158" s="5" t="str">
        <f>IF('Besluit bodemkwaliteit'!R181="X",1,"")</f>
        <v/>
      </c>
      <c r="N158" s="5" t="str">
        <f>IF('Besluit bodemkwaliteit'!S181="X",1,"")</f>
        <v/>
      </c>
    </row>
    <row r="159" spans="1:14">
      <c r="A159" s="10"/>
      <c r="B159" s="11" t="s">
        <v>196</v>
      </c>
      <c r="C159" s="5" t="str">
        <f>IF('Besluit bodemkwaliteit'!H182="X",1,IF('Besluit bodemkwaliteit'!H182="2x",10,""))</f>
        <v/>
      </c>
      <c r="D159" s="5" t="str">
        <f>IF('Besluit bodemkwaliteit'!I182="X",1,IF('Besluit bodemkwaliteit'!I182="@",10,""))</f>
        <v/>
      </c>
      <c r="E159" s="5" t="str">
        <f>IF('Besluit bodemkwaliteit'!J182="X",1,"")</f>
        <v/>
      </c>
      <c r="F159" s="5" t="str">
        <f>IF('Besluit bodemkwaliteit'!K182="X",1,"")</f>
        <v/>
      </c>
      <c r="G159" s="5" t="str">
        <f>IF('Besluit bodemkwaliteit'!L182="X",1,"")</f>
        <v/>
      </c>
      <c r="H159" s="5" t="str">
        <f>IF('Besluit bodemkwaliteit'!M182="X",1,"")</f>
        <v/>
      </c>
      <c r="I159" s="5" t="str">
        <f>IF('Besluit bodemkwaliteit'!N182="X",1,"")</f>
        <v/>
      </c>
      <c r="J159" s="5" t="str">
        <f>IF('Besluit bodemkwaliteit'!O182="X",1,"")</f>
        <v/>
      </c>
      <c r="K159" s="5" t="str">
        <f>IF('Besluit bodemkwaliteit'!P182="X",1,"")</f>
        <v/>
      </c>
      <c r="L159" s="5" t="str">
        <f>IF('Besluit bodemkwaliteit'!Q182="X",1,"")</f>
        <v/>
      </c>
      <c r="M159" s="5" t="str">
        <f>IF('Besluit bodemkwaliteit'!R182="X",1,"")</f>
        <v/>
      </c>
      <c r="N159" s="5" t="str">
        <f>IF('Besluit bodemkwaliteit'!S182="X",1,"")</f>
        <v/>
      </c>
    </row>
    <row r="160" spans="1:14">
      <c r="A160" s="10"/>
      <c r="B160" s="11"/>
    </row>
    <row r="161" spans="1:14">
      <c r="A161" s="32">
        <v>7</v>
      </c>
      <c r="B161" s="41" t="s">
        <v>123</v>
      </c>
    </row>
    <row r="162" spans="1:14">
      <c r="A162" s="10"/>
      <c r="B162" s="11" t="s">
        <v>124</v>
      </c>
      <c r="C162" s="5" t="str">
        <f>IF('Besluit bodemkwaliteit'!H185="X",1,IF('Besluit bodemkwaliteit'!H185="2x",10,""))</f>
        <v/>
      </c>
      <c r="D162" s="5" t="str">
        <f>IF('Besluit bodemkwaliteit'!I185="X",1,IF('Besluit bodemkwaliteit'!I185="@",10,""))</f>
        <v/>
      </c>
      <c r="E162" s="5" t="str">
        <f>IF('Besluit bodemkwaliteit'!J185="X",1,"")</f>
        <v/>
      </c>
      <c r="F162" s="5" t="str">
        <f>IF('Besluit bodemkwaliteit'!K185="X",1,"")</f>
        <v/>
      </c>
      <c r="G162" s="5" t="str">
        <f>IF('Besluit bodemkwaliteit'!L185="X",1,"")</f>
        <v/>
      </c>
      <c r="H162" s="5" t="str">
        <f>IF('Besluit bodemkwaliteit'!M185="X",1,"")</f>
        <v/>
      </c>
      <c r="I162" s="5" t="str">
        <f>IF('Besluit bodemkwaliteit'!N185="X",1,"")</f>
        <v/>
      </c>
      <c r="J162" s="5" t="str">
        <f>IF('Besluit bodemkwaliteit'!O185="X",1,"")</f>
        <v/>
      </c>
      <c r="K162" s="5" t="str">
        <f>IF('Besluit bodemkwaliteit'!P185="X",1,"")</f>
        <v/>
      </c>
      <c r="L162" s="5" t="str">
        <f>IF('Besluit bodemkwaliteit'!Q185="X",1,"")</f>
        <v/>
      </c>
      <c r="M162" s="5" t="str">
        <f>IF('Besluit bodemkwaliteit'!R185="X",1,"")</f>
        <v/>
      </c>
      <c r="N162" s="5" t="str">
        <f>IF('Besluit bodemkwaliteit'!S185="X",1,"")</f>
        <v/>
      </c>
    </row>
    <row r="163" spans="1:14">
      <c r="A163" s="10"/>
      <c r="B163" s="11" t="s">
        <v>125</v>
      </c>
      <c r="C163" s="5" t="str">
        <f>IF('Besluit bodemkwaliteit'!H186="X",1,IF('Besluit bodemkwaliteit'!H186="2x",10,""))</f>
        <v/>
      </c>
      <c r="D163" s="5" t="str">
        <f>IF('Besluit bodemkwaliteit'!I186="X",1,IF('Besluit bodemkwaliteit'!I186="@",10,""))</f>
        <v/>
      </c>
      <c r="E163" s="5" t="str">
        <f>IF('Besluit bodemkwaliteit'!J186="X",1,"")</f>
        <v/>
      </c>
      <c r="F163" s="5" t="str">
        <f>IF('Besluit bodemkwaliteit'!K186="X",1,"")</f>
        <v/>
      </c>
      <c r="G163" s="5" t="str">
        <f>IF('Besluit bodemkwaliteit'!L186="X",1,"")</f>
        <v/>
      </c>
      <c r="H163" s="5" t="str">
        <f>IF('Besluit bodemkwaliteit'!M186="X",1,"")</f>
        <v/>
      </c>
      <c r="I163" s="5" t="str">
        <f>IF('Besluit bodemkwaliteit'!N186="X",1,"")</f>
        <v/>
      </c>
      <c r="J163" s="5" t="str">
        <f>IF('Besluit bodemkwaliteit'!O186="X",1,"")</f>
        <v/>
      </c>
      <c r="K163" s="5" t="str">
        <f>IF('Besluit bodemkwaliteit'!P186="X",1,"")</f>
        <v/>
      </c>
      <c r="L163" s="5" t="str">
        <f>IF('Besluit bodemkwaliteit'!Q186="X",1,"")</f>
        <v/>
      </c>
      <c r="M163" s="5" t="str">
        <f>IF('Besluit bodemkwaliteit'!R186="X",1,"")</f>
        <v/>
      </c>
      <c r="N163" s="5" t="str">
        <f>IF('Besluit bodemkwaliteit'!S186="X",1,"")</f>
        <v/>
      </c>
    </row>
    <row r="164" spans="1:14">
      <c r="A164" s="10"/>
      <c r="B164" s="11" t="s">
        <v>126</v>
      </c>
      <c r="C164" s="5" t="str">
        <f>IF('Besluit bodemkwaliteit'!H187="X",1,IF('Besluit bodemkwaliteit'!H187="2x",10,""))</f>
        <v/>
      </c>
      <c r="D164" s="5" t="str">
        <f>IF('Besluit bodemkwaliteit'!I187="X",1,IF('Besluit bodemkwaliteit'!I187="@",10,""))</f>
        <v/>
      </c>
      <c r="E164" s="5" t="str">
        <f>IF('Besluit bodemkwaliteit'!J187="X",1,"")</f>
        <v/>
      </c>
      <c r="F164" s="5" t="str">
        <f>IF('Besluit bodemkwaliteit'!K187="X",1,"")</f>
        <v/>
      </c>
      <c r="G164" s="5" t="str">
        <f>IF('Besluit bodemkwaliteit'!L187="X",1,"")</f>
        <v/>
      </c>
      <c r="H164" s="5" t="str">
        <f>IF('Besluit bodemkwaliteit'!M187="X",1,"")</f>
        <v/>
      </c>
      <c r="I164" s="5" t="str">
        <f>IF('Besluit bodemkwaliteit'!N187="X",1,"")</f>
        <v/>
      </c>
      <c r="J164" s="5" t="str">
        <f>IF('Besluit bodemkwaliteit'!O187="X",1,"")</f>
        <v/>
      </c>
      <c r="K164" s="5" t="str">
        <f>IF('Besluit bodemkwaliteit'!P187="X",1,"")</f>
        <v/>
      </c>
      <c r="L164" s="5" t="str">
        <f>IF('Besluit bodemkwaliteit'!Q187="X",1,"")</f>
        <v/>
      </c>
      <c r="M164" s="5" t="str">
        <f>IF('Besluit bodemkwaliteit'!R187="X",1,"")</f>
        <v/>
      </c>
      <c r="N164" s="5" t="str">
        <f>IF('Besluit bodemkwaliteit'!S187="X",1,"")</f>
        <v/>
      </c>
    </row>
    <row r="165" spans="1:14">
      <c r="A165" s="10"/>
      <c r="B165" s="11" t="s">
        <v>127</v>
      </c>
      <c r="C165" s="5" t="str">
        <f>IF('Besluit bodemkwaliteit'!H188="X",1,IF('Besluit bodemkwaliteit'!H188="2x",10,""))</f>
        <v/>
      </c>
      <c r="D165" s="5" t="str">
        <f>IF('Besluit bodemkwaliteit'!I188="X",1,IF('Besluit bodemkwaliteit'!I188="@",10,""))</f>
        <v/>
      </c>
      <c r="E165" s="5" t="str">
        <f>IF('Besluit bodemkwaliteit'!J188="X",1,"")</f>
        <v/>
      </c>
      <c r="F165" s="5" t="str">
        <f>IF('Besluit bodemkwaliteit'!K188="X",1,"")</f>
        <v/>
      </c>
      <c r="G165" s="5" t="str">
        <f>IF('Besluit bodemkwaliteit'!L188="X",1,"")</f>
        <v/>
      </c>
      <c r="H165" s="5" t="str">
        <f>IF('Besluit bodemkwaliteit'!M188="X",1,"")</f>
        <v/>
      </c>
      <c r="I165" s="5" t="str">
        <f>IF('Besluit bodemkwaliteit'!N188="X",1,"")</f>
        <v/>
      </c>
      <c r="J165" s="5" t="str">
        <f>IF('Besluit bodemkwaliteit'!O188="X",1,"")</f>
        <v/>
      </c>
      <c r="K165" s="5" t="str">
        <f>IF('Besluit bodemkwaliteit'!P188="X",1,"")</f>
        <v/>
      </c>
      <c r="L165" s="5" t="str">
        <f>IF('Besluit bodemkwaliteit'!Q188="X",1,"")</f>
        <v/>
      </c>
      <c r="M165" s="5" t="str">
        <f>IF('Besluit bodemkwaliteit'!R188="X",1,"")</f>
        <v/>
      </c>
      <c r="N165" s="5" t="str">
        <f>IF('Besluit bodemkwaliteit'!S188="X",1,"")</f>
        <v/>
      </c>
    </row>
    <row r="166" spans="1:14">
      <c r="A166" s="10"/>
      <c r="B166" s="11" t="s">
        <v>128</v>
      </c>
      <c r="C166" s="5" t="str">
        <f>IF('Besluit bodemkwaliteit'!H189="X",1,IF('Besluit bodemkwaliteit'!H189="2x",10,""))</f>
        <v/>
      </c>
      <c r="D166" s="5" t="str">
        <f>IF('Besluit bodemkwaliteit'!I189="X",1,IF('Besluit bodemkwaliteit'!I189="@",10,""))</f>
        <v/>
      </c>
      <c r="E166" s="5" t="str">
        <f>IF('Besluit bodemkwaliteit'!J189="X",1,"")</f>
        <v/>
      </c>
      <c r="F166" s="5" t="str">
        <f>IF('Besluit bodemkwaliteit'!K189="X",1,"")</f>
        <v/>
      </c>
      <c r="G166" s="5" t="str">
        <f>IF('Besluit bodemkwaliteit'!L189="X",1,"")</f>
        <v/>
      </c>
      <c r="H166" s="5" t="str">
        <f>IF('Besluit bodemkwaliteit'!M189="X",1,"")</f>
        <v/>
      </c>
      <c r="I166" s="5" t="str">
        <f>IF('Besluit bodemkwaliteit'!N189="X",1,"")</f>
        <v/>
      </c>
      <c r="J166" s="5" t="str">
        <f>IF('Besluit bodemkwaliteit'!O189="X",1,"")</f>
        <v/>
      </c>
      <c r="K166" s="5" t="str">
        <f>IF('Besluit bodemkwaliteit'!P189="X",1,"")</f>
        <v/>
      </c>
      <c r="L166" s="5" t="str">
        <f>IF('Besluit bodemkwaliteit'!Q189="X",1,"")</f>
        <v/>
      </c>
      <c r="M166" s="5" t="str">
        <f>IF('Besluit bodemkwaliteit'!R189="X",1,"")</f>
        <v/>
      </c>
      <c r="N166" s="5" t="str">
        <f>IF('Besluit bodemkwaliteit'!S189="X",1,"")</f>
        <v/>
      </c>
    </row>
    <row r="167" spans="1:14">
      <c r="A167" s="10"/>
      <c r="B167" s="11" t="s">
        <v>129</v>
      </c>
      <c r="C167" s="5" t="str">
        <f>IF('Besluit bodemkwaliteit'!H190="X",1,IF('Besluit bodemkwaliteit'!H190="2x",10,""))</f>
        <v/>
      </c>
      <c r="D167" s="5" t="str">
        <f>IF('Besluit bodemkwaliteit'!I190="X",1,IF('Besluit bodemkwaliteit'!I190="@",10,""))</f>
        <v/>
      </c>
      <c r="E167" s="5" t="str">
        <f>IF('Besluit bodemkwaliteit'!J190="X",1,"")</f>
        <v/>
      </c>
      <c r="F167" s="5" t="str">
        <f>IF('Besluit bodemkwaliteit'!K190="X",1,"")</f>
        <v/>
      </c>
      <c r="G167" s="5" t="str">
        <f>IF('Besluit bodemkwaliteit'!L190="X",1,"")</f>
        <v/>
      </c>
      <c r="H167" s="5" t="str">
        <f>IF('Besluit bodemkwaliteit'!M190="X",1,"")</f>
        <v/>
      </c>
      <c r="I167" s="5" t="str">
        <f>IF('Besluit bodemkwaliteit'!N190="X",1,"")</f>
        <v/>
      </c>
      <c r="J167" s="5" t="str">
        <f>IF('Besluit bodemkwaliteit'!O190="X",1,"")</f>
        <v/>
      </c>
      <c r="K167" s="5" t="str">
        <f>IF('Besluit bodemkwaliteit'!P190="X",1,"")</f>
        <v/>
      </c>
      <c r="L167" s="5" t="str">
        <f>IF('Besluit bodemkwaliteit'!Q190="X",1,"")</f>
        <v/>
      </c>
      <c r="M167" s="5" t="str">
        <f>IF('Besluit bodemkwaliteit'!R190="X",1,"")</f>
        <v/>
      </c>
      <c r="N167" s="5" t="str">
        <f>IF('Besluit bodemkwaliteit'!S190="X",1,"")</f>
        <v/>
      </c>
    </row>
    <row r="168" spans="1:14">
      <c r="A168" s="10"/>
      <c r="B168" s="11" t="s">
        <v>130</v>
      </c>
      <c r="C168" s="5" t="str">
        <f>IF('Besluit bodemkwaliteit'!H191="X",1,IF('Besluit bodemkwaliteit'!H191="2x",10,""))</f>
        <v/>
      </c>
      <c r="D168" s="5" t="str">
        <f>IF('Besluit bodemkwaliteit'!I191="X",1,IF('Besluit bodemkwaliteit'!I191="@",10,""))</f>
        <v/>
      </c>
      <c r="E168" s="5" t="str">
        <f>IF('Besluit bodemkwaliteit'!J191="X",1,"")</f>
        <v/>
      </c>
      <c r="F168" s="5" t="str">
        <f>IF('Besluit bodemkwaliteit'!K191="X",1,"")</f>
        <v/>
      </c>
      <c r="G168" s="5" t="str">
        <f>IF('Besluit bodemkwaliteit'!L191="X",1,"")</f>
        <v/>
      </c>
      <c r="H168" s="5" t="str">
        <f>IF('Besluit bodemkwaliteit'!M191="X",1,"")</f>
        <v/>
      </c>
      <c r="I168" s="5" t="str">
        <f>IF('Besluit bodemkwaliteit'!N191="X",1,"")</f>
        <v/>
      </c>
      <c r="J168" s="5" t="str">
        <f>IF('Besluit bodemkwaliteit'!O191="X",1,"")</f>
        <v/>
      </c>
      <c r="K168" s="5" t="str">
        <f>IF('Besluit bodemkwaliteit'!P191="X",1,"")</f>
        <v/>
      </c>
      <c r="L168" s="5" t="str">
        <f>IF('Besluit bodemkwaliteit'!Q191="X",1,"")</f>
        <v/>
      </c>
      <c r="M168" s="5" t="str">
        <f>IF('Besluit bodemkwaliteit'!R191="X",1,"")</f>
        <v/>
      </c>
      <c r="N168" s="5" t="str">
        <f>IF('Besluit bodemkwaliteit'!S191="X",1,"")</f>
        <v/>
      </c>
    </row>
    <row r="169" spans="1:14">
      <c r="A169" s="10"/>
      <c r="B169" s="11" t="s">
        <v>131</v>
      </c>
      <c r="C169" s="5" t="str">
        <f>IF('Besluit bodemkwaliteit'!H192="X",1,IF('Besluit bodemkwaliteit'!H192="2x",10,""))</f>
        <v/>
      </c>
      <c r="D169" s="5" t="str">
        <f>IF('Besluit bodemkwaliteit'!I192="X",1,IF('Besluit bodemkwaliteit'!I192="@",10,""))</f>
        <v/>
      </c>
      <c r="E169" s="5" t="str">
        <f>IF('Besluit bodemkwaliteit'!J192="X",1,"")</f>
        <v/>
      </c>
      <c r="F169" s="5" t="str">
        <f>IF('Besluit bodemkwaliteit'!K192="X",1,"")</f>
        <v/>
      </c>
      <c r="G169" s="5" t="str">
        <f>IF('Besluit bodemkwaliteit'!L192="X",1,"")</f>
        <v/>
      </c>
      <c r="H169" s="5" t="str">
        <f>IF('Besluit bodemkwaliteit'!M192="X",1,"")</f>
        <v/>
      </c>
      <c r="I169" s="5" t="str">
        <f>IF('Besluit bodemkwaliteit'!N192="X",1,"")</f>
        <v/>
      </c>
      <c r="J169" s="5" t="str">
        <f>IF('Besluit bodemkwaliteit'!O192="X",1,"")</f>
        <v/>
      </c>
      <c r="K169" s="5" t="str">
        <f>IF('Besluit bodemkwaliteit'!P192="X",1,"")</f>
        <v/>
      </c>
      <c r="L169" s="5" t="str">
        <f>IF('Besluit bodemkwaliteit'!Q192="X",1,"")</f>
        <v/>
      </c>
      <c r="M169" s="5" t="str">
        <f>IF('Besluit bodemkwaliteit'!R192="X",1,"")</f>
        <v/>
      </c>
      <c r="N169" s="5" t="str">
        <f>IF('Besluit bodemkwaliteit'!S192="X",1,"")</f>
        <v/>
      </c>
    </row>
    <row r="170" spans="1:14">
      <c r="A170" s="10"/>
      <c r="B170" s="11" t="s">
        <v>132</v>
      </c>
      <c r="C170" s="5" t="str">
        <f>IF('Besluit bodemkwaliteit'!H193="X",1,IF('Besluit bodemkwaliteit'!H193="2x",10,""))</f>
        <v/>
      </c>
      <c r="D170" s="5" t="str">
        <f>IF('Besluit bodemkwaliteit'!I193="X",1,IF('Besluit bodemkwaliteit'!I193="@",10,""))</f>
        <v/>
      </c>
      <c r="E170" s="5" t="str">
        <f>IF('Besluit bodemkwaliteit'!J193="X",1,"")</f>
        <v/>
      </c>
      <c r="F170" s="5" t="str">
        <f>IF('Besluit bodemkwaliteit'!K193="X",1,"")</f>
        <v/>
      </c>
      <c r="G170" s="5" t="str">
        <f>IF('Besluit bodemkwaliteit'!L193="X",1,"")</f>
        <v/>
      </c>
      <c r="H170" s="5" t="str">
        <f>IF('Besluit bodemkwaliteit'!M193="X",1,"")</f>
        <v/>
      </c>
      <c r="I170" s="5" t="str">
        <f>IF('Besluit bodemkwaliteit'!N193="X",1,"")</f>
        <v/>
      </c>
      <c r="J170" s="5" t="str">
        <f>IF('Besluit bodemkwaliteit'!O193="X",1,"")</f>
        <v/>
      </c>
      <c r="K170" s="5" t="str">
        <f>IF('Besluit bodemkwaliteit'!P193="X",1,"")</f>
        <v/>
      </c>
      <c r="L170" s="5" t="str">
        <f>IF('Besluit bodemkwaliteit'!Q193="X",1,"")</f>
        <v/>
      </c>
      <c r="M170" s="5" t="str">
        <f>IF('Besluit bodemkwaliteit'!R193="X",1,"")</f>
        <v/>
      </c>
      <c r="N170" s="5" t="str">
        <f>IF('Besluit bodemkwaliteit'!S193="X",1,"")</f>
        <v/>
      </c>
    </row>
    <row r="171" spans="1:14">
      <c r="A171" s="10"/>
      <c r="B171" s="11" t="s">
        <v>216</v>
      </c>
      <c r="C171" s="5" t="str">
        <f>IF('Besluit bodemkwaliteit'!H194="X",1,IF('Besluit bodemkwaliteit'!H194="2x",10,""))</f>
        <v/>
      </c>
      <c r="D171" s="5" t="str">
        <f>IF('Besluit bodemkwaliteit'!I194="X",1,IF('Besluit bodemkwaliteit'!I194="@",10,""))</f>
        <v/>
      </c>
      <c r="E171" s="5" t="str">
        <f>IF('Besluit bodemkwaliteit'!J194="X",1,"")</f>
        <v/>
      </c>
      <c r="F171" s="5" t="str">
        <f>IF('Besluit bodemkwaliteit'!K194="X",1,"")</f>
        <v/>
      </c>
      <c r="G171" s="5" t="str">
        <f>IF('Besluit bodemkwaliteit'!L194="X",1,"")</f>
        <v/>
      </c>
      <c r="H171" s="5" t="str">
        <f>IF('Besluit bodemkwaliteit'!M194="X",1,"")</f>
        <v/>
      </c>
      <c r="I171" s="5" t="str">
        <f>IF('Besluit bodemkwaliteit'!N194="X",1,"")</f>
        <v/>
      </c>
      <c r="J171" s="5" t="str">
        <f>IF('Besluit bodemkwaliteit'!O194="X",1,"")</f>
        <v/>
      </c>
      <c r="K171" s="5" t="str">
        <f>IF('Besluit bodemkwaliteit'!P194="X",1,"")</f>
        <v/>
      </c>
      <c r="L171" s="5" t="str">
        <f>IF('Besluit bodemkwaliteit'!Q194="X",1,"")</f>
        <v/>
      </c>
      <c r="M171" s="5" t="str">
        <f>IF('Besluit bodemkwaliteit'!R194="X",1,"")</f>
        <v/>
      </c>
      <c r="N171" s="5" t="str">
        <f>IF('Besluit bodemkwaliteit'!S194="X",1,"")</f>
        <v/>
      </c>
    </row>
    <row r="172" spans="1:14">
      <c r="A172" s="10"/>
      <c r="B172" s="11" t="s">
        <v>133</v>
      </c>
      <c r="C172" s="5" t="str">
        <f>IF('Besluit bodemkwaliteit'!H195="X",1,IF('Besluit bodemkwaliteit'!H195="2x",10,""))</f>
        <v/>
      </c>
      <c r="D172" s="5" t="str">
        <f>IF('Besluit bodemkwaliteit'!I195="X",1,IF('Besluit bodemkwaliteit'!I195="@",10,""))</f>
        <v/>
      </c>
      <c r="E172" s="5"/>
      <c r="F172" s="5" t="str">
        <f>IF('Besluit bodemkwaliteit'!K195="X",1,"")</f>
        <v/>
      </c>
      <c r="G172" s="5" t="str">
        <f>IF('Besluit bodemkwaliteit'!L195="X",1,"")</f>
        <v/>
      </c>
      <c r="H172" s="5" t="str">
        <f>IF('Besluit bodemkwaliteit'!M195="X",1,"")</f>
        <v/>
      </c>
      <c r="I172" s="5" t="str">
        <f>IF('Besluit bodemkwaliteit'!N195="X",1,"")</f>
        <v/>
      </c>
      <c r="J172" s="5" t="str">
        <f>IF('Besluit bodemkwaliteit'!O195="X",1,"")</f>
        <v/>
      </c>
      <c r="K172" s="5" t="str">
        <f>IF('Besluit bodemkwaliteit'!P195="X",1,"")</f>
        <v/>
      </c>
      <c r="L172" s="5" t="str">
        <f>IF('Besluit bodemkwaliteit'!Q195="X",1,"")</f>
        <v/>
      </c>
      <c r="M172" s="5" t="str">
        <f>IF('Besluit bodemkwaliteit'!R195="X",1,"")</f>
        <v/>
      </c>
      <c r="N172" s="5" t="str">
        <f>IF('Besluit bodemkwaliteit'!S195="X",1,"")</f>
        <v/>
      </c>
    </row>
    <row r="173" spans="1:14">
      <c r="A173" s="10"/>
      <c r="B173" s="11" t="s">
        <v>134</v>
      </c>
      <c r="C173" s="5" t="str">
        <f>IF('Besluit bodemkwaliteit'!H196="X",1,IF('Besluit bodemkwaliteit'!H196="2x",10,""))</f>
        <v/>
      </c>
      <c r="D173" s="5" t="str">
        <f>IF('Besluit bodemkwaliteit'!I196="X",1,IF('Besluit bodemkwaliteit'!I196="@",10,""))</f>
        <v/>
      </c>
      <c r="E173" s="5" t="str">
        <f>IF('Besluit bodemkwaliteit'!J196="X",1,"")</f>
        <v/>
      </c>
      <c r="F173" s="5" t="str">
        <f>IF('Besluit bodemkwaliteit'!K196="X",1,"")</f>
        <v/>
      </c>
      <c r="G173" s="5" t="str">
        <f>IF('Besluit bodemkwaliteit'!L196="X",1,"")</f>
        <v/>
      </c>
      <c r="H173" s="5" t="str">
        <f>IF('Besluit bodemkwaliteit'!M196="X",1,"")</f>
        <v/>
      </c>
      <c r="I173" s="5" t="str">
        <f>IF('Besluit bodemkwaliteit'!N196="X",1,"")</f>
        <v/>
      </c>
      <c r="J173" s="5" t="str">
        <f>IF('Besluit bodemkwaliteit'!O196="X",1,"")</f>
        <v/>
      </c>
      <c r="K173" s="5" t="str">
        <f>IF('Besluit bodemkwaliteit'!P196="X",1,"")</f>
        <v/>
      </c>
      <c r="L173" s="5" t="str">
        <f>IF('Besluit bodemkwaliteit'!Q196="X",1,"")</f>
        <v/>
      </c>
      <c r="M173" s="5" t="str">
        <f>IF('Besluit bodemkwaliteit'!R196="X",1,"")</f>
        <v/>
      </c>
      <c r="N173" s="5" t="str">
        <f>IF('Besluit bodemkwaliteit'!S196="X",1,"")</f>
        <v/>
      </c>
    </row>
    <row r="174" spans="1:14">
      <c r="A174" s="10"/>
      <c r="B174" s="11" t="s">
        <v>135</v>
      </c>
      <c r="C174" s="5" t="str">
        <f>IF('Besluit bodemkwaliteit'!H197="X",1,IF('Besluit bodemkwaliteit'!H197="2x",10,""))</f>
        <v/>
      </c>
      <c r="D174" s="5" t="str">
        <f>IF('Besluit bodemkwaliteit'!I197="X",1,IF('Besluit bodemkwaliteit'!I197="@",10,""))</f>
        <v/>
      </c>
      <c r="E174" s="5" t="str">
        <f>IF('Besluit bodemkwaliteit'!J197="X",1,"")</f>
        <v/>
      </c>
      <c r="F174" s="5" t="str">
        <f>IF('Besluit bodemkwaliteit'!K197="X",1,"")</f>
        <v/>
      </c>
      <c r="G174" s="5" t="str">
        <f>IF('Besluit bodemkwaliteit'!L197="X",1,"")</f>
        <v/>
      </c>
      <c r="H174" s="5" t="str">
        <f>IF('Besluit bodemkwaliteit'!M197="X",1,"")</f>
        <v/>
      </c>
      <c r="I174" s="5" t="str">
        <f>IF('Besluit bodemkwaliteit'!N197="X",1,"")</f>
        <v/>
      </c>
      <c r="J174" s="5" t="str">
        <f>IF('Besluit bodemkwaliteit'!O197="X",1,"")</f>
        <v/>
      </c>
      <c r="K174" s="5" t="str">
        <f>IF('Besluit bodemkwaliteit'!P197="X",1,"")</f>
        <v/>
      </c>
      <c r="L174" s="5" t="str">
        <f>IF('Besluit bodemkwaliteit'!Q197="X",1,"")</f>
        <v/>
      </c>
      <c r="M174" s="5" t="str">
        <f>IF('Besluit bodemkwaliteit'!R197="X",1,"")</f>
        <v/>
      </c>
      <c r="N174" s="5" t="str">
        <f>IF('Besluit bodemkwaliteit'!S197="X",1,"")</f>
        <v/>
      </c>
    </row>
    <row r="175" spans="1:14">
      <c r="A175" s="10"/>
      <c r="B175" s="11" t="s">
        <v>136</v>
      </c>
      <c r="C175" s="5" t="str">
        <f>IF('Besluit bodemkwaliteit'!H198="X",1,IF('Besluit bodemkwaliteit'!H198="2x",10,""))</f>
        <v/>
      </c>
      <c r="D175" s="5" t="str">
        <f>IF('Besluit bodemkwaliteit'!I198="X",1,IF('Besluit bodemkwaliteit'!I198="@",10,""))</f>
        <v/>
      </c>
      <c r="E175" s="5" t="str">
        <f>IF('Besluit bodemkwaliteit'!J198="X",1,"")</f>
        <v/>
      </c>
      <c r="F175" s="5" t="str">
        <f>IF('Besluit bodemkwaliteit'!K198="X",1,"")</f>
        <v/>
      </c>
      <c r="G175" s="5" t="str">
        <f>IF('Besluit bodemkwaliteit'!L198="X",1,"")</f>
        <v/>
      </c>
      <c r="H175" s="5" t="str">
        <f>IF('Besluit bodemkwaliteit'!M198="X",1,"")</f>
        <v/>
      </c>
      <c r="I175" s="5" t="str">
        <f>IF('Besluit bodemkwaliteit'!N198="X",1,"")</f>
        <v/>
      </c>
      <c r="J175" s="5" t="str">
        <f>IF('Besluit bodemkwaliteit'!O198="X",1,"")</f>
        <v/>
      </c>
      <c r="K175" s="5" t="str">
        <f>IF('Besluit bodemkwaliteit'!P198="X",1,"")</f>
        <v/>
      </c>
      <c r="L175" s="5" t="str">
        <f>IF('Besluit bodemkwaliteit'!Q198="X",1,"")</f>
        <v/>
      </c>
      <c r="M175" s="5" t="str">
        <f>IF('Besluit bodemkwaliteit'!R198="X",1,"")</f>
        <v/>
      </c>
      <c r="N175" s="5" t="str">
        <f>IF('Besluit bodemkwaliteit'!S198="X",1,"")</f>
        <v/>
      </c>
    </row>
    <row r="176" spans="1:14">
      <c r="A176" s="10"/>
      <c r="B176" s="11" t="s">
        <v>137</v>
      </c>
      <c r="C176" s="5" t="str">
        <f>IF('Besluit bodemkwaliteit'!H199="X",1,IF('Besluit bodemkwaliteit'!H199="2x",10,""))</f>
        <v/>
      </c>
      <c r="D176" s="5" t="str">
        <f>IF('Besluit bodemkwaliteit'!I199="X",1,IF('Besluit bodemkwaliteit'!I199="@",10,""))</f>
        <v/>
      </c>
      <c r="E176" s="5" t="str">
        <f>IF('Besluit bodemkwaliteit'!J199="X",1,"")</f>
        <v/>
      </c>
      <c r="F176" s="5" t="str">
        <f>IF('Besluit bodemkwaliteit'!K199="X",1,"")</f>
        <v/>
      </c>
      <c r="G176" s="5" t="str">
        <f>IF('Besluit bodemkwaliteit'!L199="X",1,"")</f>
        <v/>
      </c>
      <c r="H176" s="5" t="str">
        <f>IF('Besluit bodemkwaliteit'!M199="X",1,"")</f>
        <v/>
      </c>
      <c r="I176" s="5" t="str">
        <f>IF('Besluit bodemkwaliteit'!N199="X",1,"")</f>
        <v/>
      </c>
      <c r="J176" s="5" t="str">
        <f>IF('Besluit bodemkwaliteit'!O199="X",1,"")</f>
        <v/>
      </c>
      <c r="K176" s="5" t="str">
        <f>IF('Besluit bodemkwaliteit'!P199="X",1,"")</f>
        <v/>
      </c>
      <c r="L176" s="5" t="str">
        <f>IF('Besluit bodemkwaliteit'!Q199="X",1,"")</f>
        <v/>
      </c>
      <c r="M176" s="5" t="str">
        <f>IF('Besluit bodemkwaliteit'!R199="X",1,"")</f>
        <v/>
      </c>
      <c r="N176" s="5" t="str">
        <f>IF('Besluit bodemkwaliteit'!S199="X",1,"")</f>
        <v/>
      </c>
    </row>
    <row r="177" spans="1:14">
      <c r="A177" s="10"/>
      <c r="B177" s="11" t="s">
        <v>138</v>
      </c>
      <c r="C177" s="5" t="str">
        <f>IF('Besluit bodemkwaliteit'!H200="X",1,IF('Besluit bodemkwaliteit'!H200="2x",10,""))</f>
        <v/>
      </c>
      <c r="D177" s="5" t="str">
        <f>IF('Besluit bodemkwaliteit'!I200="X",1,IF('Besluit bodemkwaliteit'!I200="@",10,""))</f>
        <v/>
      </c>
      <c r="E177" s="5" t="str">
        <f>IF('Besluit bodemkwaliteit'!J200="X",1,"")</f>
        <v/>
      </c>
      <c r="F177" s="5" t="str">
        <f>IF('Besluit bodemkwaliteit'!K200="X",1,"")</f>
        <v/>
      </c>
      <c r="G177" s="5" t="str">
        <f>IF('Besluit bodemkwaliteit'!L200="X",1,"")</f>
        <v/>
      </c>
      <c r="H177" s="5" t="str">
        <f>IF('Besluit bodemkwaliteit'!M200="X",1,"")</f>
        <v/>
      </c>
      <c r="I177" s="5" t="str">
        <f>IF('Besluit bodemkwaliteit'!N200="X",1,"")</f>
        <v/>
      </c>
      <c r="J177" s="5" t="str">
        <f>IF('Besluit bodemkwaliteit'!O200="X",1,"")</f>
        <v/>
      </c>
      <c r="K177" s="5" t="str">
        <f>IF('Besluit bodemkwaliteit'!P200="X",1,"")</f>
        <v/>
      </c>
      <c r="L177" s="5" t="str">
        <f>IF('Besluit bodemkwaliteit'!Q200="X",1,"")</f>
        <v/>
      </c>
      <c r="M177" s="5" t="str">
        <f>IF('Besluit bodemkwaliteit'!R200="X",1,"")</f>
        <v/>
      </c>
      <c r="N177" s="5" t="str">
        <f>IF('Besluit bodemkwaliteit'!S200="X",1,"")</f>
        <v/>
      </c>
    </row>
    <row r="178" spans="1:14">
      <c r="A178" s="10"/>
      <c r="B178" s="11" t="s">
        <v>177</v>
      </c>
      <c r="C178" s="5" t="str">
        <f>IF('Besluit bodemkwaliteit'!H201="X",1,IF('Besluit bodemkwaliteit'!H201="2x",10,""))</f>
        <v/>
      </c>
      <c r="D178" s="5" t="str">
        <f>IF('Besluit bodemkwaliteit'!I201="X",1,IF('Besluit bodemkwaliteit'!I201="@",10,""))</f>
        <v/>
      </c>
      <c r="E178" s="5" t="str">
        <f>IF('Besluit bodemkwaliteit'!J201="X",1,"")</f>
        <v/>
      </c>
      <c r="F178" s="5" t="str">
        <f>IF('Besluit bodemkwaliteit'!K201="X",1,"")</f>
        <v/>
      </c>
      <c r="G178" s="5" t="str">
        <f>IF('Besluit bodemkwaliteit'!L201="X",1,"")</f>
        <v/>
      </c>
      <c r="H178" s="5" t="str">
        <f>IF('Besluit bodemkwaliteit'!M201="X",1,"")</f>
        <v/>
      </c>
      <c r="I178" s="5" t="str">
        <f>IF('Besluit bodemkwaliteit'!N201="X",1,"")</f>
        <v/>
      </c>
      <c r="J178" s="5" t="str">
        <f>IF('Besluit bodemkwaliteit'!O201="X",1,"")</f>
        <v/>
      </c>
      <c r="K178" s="5" t="str">
        <f>IF('Besluit bodemkwaliteit'!P201="X",1,"")</f>
        <v/>
      </c>
      <c r="L178" s="5" t="str">
        <f>IF('Besluit bodemkwaliteit'!Q201="X",1,"")</f>
        <v/>
      </c>
      <c r="M178" s="5" t="str">
        <f>IF('Besluit bodemkwaliteit'!R201="X",1,"")</f>
        <v/>
      </c>
      <c r="N178" s="5" t="str">
        <f>IF('Besluit bodemkwaliteit'!S201="X",1,"")</f>
        <v/>
      </c>
    </row>
    <row r="179" spans="1:14">
      <c r="A179" s="10"/>
      <c r="B179" s="11" t="s">
        <v>139</v>
      </c>
      <c r="C179" s="5" t="str">
        <f>IF('Besluit bodemkwaliteit'!H202="X",1,IF('Besluit bodemkwaliteit'!H202="2x",10,""))</f>
        <v/>
      </c>
      <c r="D179" s="5" t="str">
        <f>IF('Besluit bodemkwaliteit'!I202="X",1,IF('Besluit bodemkwaliteit'!I202="@",10,""))</f>
        <v/>
      </c>
      <c r="E179" s="5" t="str">
        <f>IF('Besluit bodemkwaliteit'!J202="X",1,"")</f>
        <v/>
      </c>
      <c r="F179" s="5" t="str">
        <f>IF('Besluit bodemkwaliteit'!K202="X",1,"")</f>
        <v/>
      </c>
      <c r="G179" s="5" t="str">
        <f>IF('Besluit bodemkwaliteit'!L202="X",1,"")</f>
        <v/>
      </c>
      <c r="H179" s="5" t="str">
        <f>IF('Besluit bodemkwaliteit'!M202="X",1,"")</f>
        <v/>
      </c>
      <c r="I179" s="5" t="str">
        <f>IF('Besluit bodemkwaliteit'!N202="X",1,"")</f>
        <v/>
      </c>
      <c r="J179" s="5" t="str">
        <f>IF('Besluit bodemkwaliteit'!O202="X",1,"")</f>
        <v/>
      </c>
      <c r="K179" s="5" t="str">
        <f>IF('Besluit bodemkwaliteit'!P202="X",1,"")</f>
        <v/>
      </c>
      <c r="L179" s="5" t="str">
        <f>IF('Besluit bodemkwaliteit'!Q202="X",1,"")</f>
        <v/>
      </c>
      <c r="M179" s="5" t="str">
        <f>IF('Besluit bodemkwaliteit'!R202="X",1,"")</f>
        <v/>
      </c>
      <c r="N179" s="5" t="str">
        <f>IF('Besluit bodemkwaliteit'!S202="X",1,"")</f>
        <v/>
      </c>
    </row>
    <row r="180" spans="1:14">
      <c r="A180" s="10"/>
      <c r="B180" s="11" t="s">
        <v>140</v>
      </c>
      <c r="C180" s="5" t="str">
        <f>IF('Besluit bodemkwaliteit'!H203="X",1,IF('Besluit bodemkwaliteit'!H203="2x",10,""))</f>
        <v/>
      </c>
      <c r="D180" s="5" t="str">
        <f>IF('Besluit bodemkwaliteit'!I203="X",1,IF('Besluit bodemkwaliteit'!I203="@",10,""))</f>
        <v/>
      </c>
      <c r="E180" s="5" t="str">
        <f>IF('Besluit bodemkwaliteit'!J203="X",1,"")</f>
        <v/>
      </c>
      <c r="F180" s="5" t="str">
        <f>IF('Besluit bodemkwaliteit'!K203="X",1,"")</f>
        <v/>
      </c>
      <c r="G180" s="5" t="str">
        <f>IF('Besluit bodemkwaliteit'!L203="X",1,"")</f>
        <v/>
      </c>
      <c r="H180" s="5" t="str">
        <f>IF('Besluit bodemkwaliteit'!M203="X",1,"")</f>
        <v/>
      </c>
      <c r="I180" s="5" t="str">
        <f>IF('Besluit bodemkwaliteit'!N203="X",1,"")</f>
        <v/>
      </c>
      <c r="J180" s="5" t="str">
        <f>IF('Besluit bodemkwaliteit'!O203="X",1,"")</f>
        <v/>
      </c>
      <c r="K180" s="5" t="str">
        <f>IF('Besluit bodemkwaliteit'!P203="X",1,"")</f>
        <v/>
      </c>
      <c r="L180" s="5" t="str">
        <f>IF('Besluit bodemkwaliteit'!Q203="X",1,"")</f>
        <v/>
      </c>
      <c r="M180" s="5" t="str">
        <f>IF('Besluit bodemkwaliteit'!R203="X",1,"")</f>
        <v/>
      </c>
      <c r="N180" s="5" t="str">
        <f>IF('Besluit bodemkwaliteit'!S203="X",1,"")</f>
        <v/>
      </c>
    </row>
    <row r="181" spans="1:14">
      <c r="A181" s="10"/>
      <c r="B181" s="11" t="s">
        <v>141</v>
      </c>
      <c r="C181" s="5" t="str">
        <f>IF('Besluit bodemkwaliteit'!H204="X",1,IF('Besluit bodemkwaliteit'!H204="2x",10,""))</f>
        <v/>
      </c>
      <c r="D181" s="5" t="str">
        <f>IF('Besluit bodemkwaliteit'!I204="X",1,IF('Besluit bodemkwaliteit'!I204="@",10,""))</f>
        <v/>
      </c>
      <c r="E181" s="5" t="str">
        <f>IF('Besluit bodemkwaliteit'!J204="X",1,"")</f>
        <v/>
      </c>
      <c r="F181" s="5" t="str">
        <f>IF('Besluit bodemkwaliteit'!K204="X",1,"")</f>
        <v/>
      </c>
      <c r="G181" s="5" t="str">
        <f>IF('Besluit bodemkwaliteit'!L204="X",1,"")</f>
        <v/>
      </c>
      <c r="H181" s="5" t="str">
        <f>IF('Besluit bodemkwaliteit'!M204="X",1,"")</f>
        <v/>
      </c>
      <c r="I181" s="5" t="str">
        <f>IF('Besluit bodemkwaliteit'!N204="X",1,"")</f>
        <v/>
      </c>
      <c r="J181" s="5" t="str">
        <f>IF('Besluit bodemkwaliteit'!O204="X",1,"")</f>
        <v/>
      </c>
      <c r="K181" s="5" t="str">
        <f>IF('Besluit bodemkwaliteit'!P204="X",1,"")</f>
        <v/>
      </c>
      <c r="L181" s="5" t="str">
        <f>IF('Besluit bodemkwaliteit'!Q204="X",1,"")</f>
        <v/>
      </c>
      <c r="M181" s="5" t="str">
        <f>IF('Besluit bodemkwaliteit'!R204="X",1,"")</f>
        <v/>
      </c>
      <c r="N181" s="5" t="str">
        <f>IF('Besluit bodemkwaliteit'!S204="X",1,"")</f>
        <v/>
      </c>
    </row>
    <row r="182" spans="1:14">
      <c r="A182" s="10"/>
      <c r="B182" s="11" t="s">
        <v>142</v>
      </c>
      <c r="C182" s="5" t="str">
        <f>IF('Besluit bodemkwaliteit'!H205="X",1,IF('Besluit bodemkwaliteit'!H205="2x",10,""))</f>
        <v/>
      </c>
      <c r="D182" s="5" t="str">
        <f>IF('Besluit bodemkwaliteit'!I205="X",1,IF('Besluit bodemkwaliteit'!I205="@",10,""))</f>
        <v/>
      </c>
      <c r="E182" s="5" t="str">
        <f>IF('Besluit bodemkwaliteit'!J205="X",1,"")</f>
        <v/>
      </c>
      <c r="F182" s="5" t="str">
        <f>IF('Besluit bodemkwaliteit'!K205="X",1,"")</f>
        <v/>
      </c>
      <c r="G182" s="5" t="str">
        <f>IF('Besluit bodemkwaliteit'!L205="X",1,"")</f>
        <v/>
      </c>
      <c r="H182" s="5" t="str">
        <f>IF('Besluit bodemkwaliteit'!M205="X",1,"")</f>
        <v/>
      </c>
      <c r="I182" s="5" t="str">
        <f>IF('Besluit bodemkwaliteit'!N205="X",1,"")</f>
        <v/>
      </c>
      <c r="J182" s="5" t="str">
        <f>IF('Besluit bodemkwaliteit'!O205="X",1,"")</f>
        <v/>
      </c>
      <c r="K182" s="5" t="str">
        <f>IF('Besluit bodemkwaliteit'!P205="X",1,"")</f>
        <v/>
      </c>
      <c r="L182" s="5" t="str">
        <f>IF('Besluit bodemkwaliteit'!Q205="X",1,"")</f>
        <v/>
      </c>
      <c r="M182" s="5" t="str">
        <f>IF('Besluit bodemkwaliteit'!R205="X",1,"")</f>
        <v/>
      </c>
      <c r="N182" s="5" t="str">
        <f>IF('Besluit bodemkwaliteit'!S205="X",1,"")</f>
        <v/>
      </c>
    </row>
    <row r="183" spans="1:14">
      <c r="A183" s="10"/>
      <c r="B183" s="11" t="s">
        <v>143</v>
      </c>
      <c r="C183" s="5" t="str">
        <f>IF('Besluit bodemkwaliteit'!H206="X",1,IF('Besluit bodemkwaliteit'!H206="2x",10,""))</f>
        <v/>
      </c>
      <c r="D183" s="5" t="str">
        <f>IF('Besluit bodemkwaliteit'!I206="X",1,IF('Besluit bodemkwaliteit'!I206="@",10,""))</f>
        <v/>
      </c>
      <c r="E183" s="5" t="str">
        <f>IF('Besluit bodemkwaliteit'!J206="X",1,"")</f>
        <v/>
      </c>
      <c r="F183" s="5" t="str">
        <f>IF('Besluit bodemkwaliteit'!K206="X",1,"")</f>
        <v/>
      </c>
      <c r="G183" s="5" t="str">
        <f>IF('Besluit bodemkwaliteit'!L206="X",1,"")</f>
        <v/>
      </c>
      <c r="H183" s="5" t="str">
        <f>IF('Besluit bodemkwaliteit'!M206="X",1,"")</f>
        <v/>
      </c>
      <c r="I183" s="5" t="str">
        <f>IF('Besluit bodemkwaliteit'!N206="X",1,"")</f>
        <v/>
      </c>
      <c r="J183" s="5" t="str">
        <f>IF('Besluit bodemkwaliteit'!O206="X",1,"")</f>
        <v/>
      </c>
      <c r="K183" s="5" t="str">
        <f>IF('Besluit bodemkwaliteit'!P206="X",1,"")</f>
        <v/>
      </c>
      <c r="L183" s="5" t="str">
        <f>IF('Besluit bodemkwaliteit'!Q206="X",1,"")</f>
        <v/>
      </c>
      <c r="M183" s="5" t="str">
        <f>IF('Besluit bodemkwaliteit'!R206="X",1,"")</f>
        <v/>
      </c>
      <c r="N183" s="5" t="str">
        <f>IF('Besluit bodemkwaliteit'!S206="X",1,"")</f>
        <v/>
      </c>
    </row>
    <row r="184" spans="1:14">
      <c r="A184" s="10"/>
      <c r="B184" s="11" t="s">
        <v>144</v>
      </c>
      <c r="C184" s="5" t="str">
        <f>IF('Besluit bodemkwaliteit'!H207="X",1,IF('Besluit bodemkwaliteit'!H207="2x",10,""))</f>
        <v/>
      </c>
      <c r="D184" s="5" t="str">
        <f>IF('Besluit bodemkwaliteit'!I207="X",1,IF('Besluit bodemkwaliteit'!I207="@",10,""))</f>
        <v/>
      </c>
      <c r="E184" s="5" t="str">
        <f>IF('Besluit bodemkwaliteit'!J207="X",1,"")</f>
        <v/>
      </c>
      <c r="F184" s="5" t="str">
        <f>IF('Besluit bodemkwaliteit'!K207="X",1,"")</f>
        <v/>
      </c>
      <c r="G184" s="5" t="str">
        <f>IF('Besluit bodemkwaliteit'!L207="X",1,"")</f>
        <v/>
      </c>
      <c r="H184" s="5" t="str">
        <f>IF('Besluit bodemkwaliteit'!M207="X",1,"")</f>
        <v/>
      </c>
      <c r="I184" s="5" t="str">
        <f>IF('Besluit bodemkwaliteit'!N207="X",1,"")</f>
        <v/>
      </c>
      <c r="J184" s="5" t="str">
        <f>IF('Besluit bodemkwaliteit'!O207="X",1,"")</f>
        <v/>
      </c>
      <c r="K184" s="5" t="str">
        <f>IF('Besluit bodemkwaliteit'!P207="X",1,"")</f>
        <v/>
      </c>
      <c r="L184" s="5" t="str">
        <f>IF('Besluit bodemkwaliteit'!Q207="X",1,"")</f>
        <v/>
      </c>
      <c r="M184" s="5" t="str">
        <f>IF('Besluit bodemkwaliteit'!R207="X",1,"")</f>
        <v/>
      </c>
      <c r="N184" s="5" t="str">
        <f>IF('Besluit bodemkwaliteit'!S207="X",1,"")</f>
        <v/>
      </c>
    </row>
    <row r="185" spans="1:14">
      <c r="A185" s="10"/>
      <c r="B185" s="11" t="s">
        <v>145</v>
      </c>
      <c r="C185" s="5" t="str">
        <f>IF('Besluit bodemkwaliteit'!H208="X",1,IF('Besluit bodemkwaliteit'!H208="2x",10,""))</f>
        <v/>
      </c>
      <c r="D185" s="5" t="str">
        <f>IF('Besluit bodemkwaliteit'!I208="X",1,IF('Besluit bodemkwaliteit'!I208="@",10,""))</f>
        <v/>
      </c>
      <c r="E185" s="5" t="str">
        <f>IF('Besluit bodemkwaliteit'!J208="X",1,"")</f>
        <v/>
      </c>
      <c r="F185" s="5" t="str">
        <f>IF('Besluit bodemkwaliteit'!K208="X",1,"")</f>
        <v/>
      </c>
      <c r="G185" s="5" t="str">
        <f>IF('Besluit bodemkwaliteit'!L208="X",1,"")</f>
        <v/>
      </c>
      <c r="H185" s="5" t="str">
        <f>IF('Besluit bodemkwaliteit'!M208="X",1,"")</f>
        <v/>
      </c>
      <c r="I185" s="5" t="str">
        <f>IF('Besluit bodemkwaliteit'!N208="X",1,"")</f>
        <v/>
      </c>
      <c r="J185" s="5" t="str">
        <f>IF('Besluit bodemkwaliteit'!O208="X",1,"")</f>
        <v/>
      </c>
      <c r="K185" s="5" t="str">
        <f>IF('Besluit bodemkwaliteit'!P208="X",1,"")</f>
        <v/>
      </c>
      <c r="L185" s="5" t="str">
        <f>IF('Besluit bodemkwaliteit'!Q208="X",1,"")</f>
        <v/>
      </c>
      <c r="M185" s="5" t="str">
        <f>IF('Besluit bodemkwaliteit'!R208="X",1,"")</f>
        <v/>
      </c>
      <c r="N185" s="5" t="str">
        <f>IF('Besluit bodemkwaliteit'!S208="X",1,"")</f>
        <v/>
      </c>
    </row>
    <row r="186" spans="1:14">
      <c r="A186" s="10"/>
      <c r="B186" s="11" t="s">
        <v>146</v>
      </c>
      <c r="C186" s="5" t="str">
        <f>IF('Besluit bodemkwaliteit'!H209="X",1,IF('Besluit bodemkwaliteit'!H209="2x",10,""))</f>
        <v/>
      </c>
      <c r="D186" s="5" t="str">
        <f>IF('Besluit bodemkwaliteit'!I209="X",1,IF('Besluit bodemkwaliteit'!I209="@",10,""))</f>
        <v/>
      </c>
      <c r="E186" s="5" t="str">
        <f>IF('Besluit bodemkwaliteit'!J209="X",1,"")</f>
        <v/>
      </c>
      <c r="F186" s="5" t="str">
        <f>IF('Besluit bodemkwaliteit'!K209="X",1,"")</f>
        <v/>
      </c>
      <c r="G186" s="5" t="str">
        <f>IF('Besluit bodemkwaliteit'!L209="X",1,"")</f>
        <v/>
      </c>
      <c r="H186" s="5" t="str">
        <f>IF('Besluit bodemkwaliteit'!M209="X",1,"")</f>
        <v/>
      </c>
      <c r="I186" s="5" t="str">
        <f>IF('Besluit bodemkwaliteit'!N209="X",1,"")</f>
        <v/>
      </c>
      <c r="J186" s="5" t="str">
        <f>IF('Besluit bodemkwaliteit'!O209="X",1,"")</f>
        <v/>
      </c>
      <c r="K186" s="5" t="str">
        <f>IF('Besluit bodemkwaliteit'!P209="X",1,"")</f>
        <v/>
      </c>
      <c r="L186" s="5" t="str">
        <f>IF('Besluit bodemkwaliteit'!Q209="X",1,"")</f>
        <v/>
      </c>
      <c r="M186" s="5" t="str">
        <f>IF('Besluit bodemkwaliteit'!R209="X",1,"")</f>
        <v/>
      </c>
      <c r="N186" s="5" t="str">
        <f>IF('Besluit bodemkwaliteit'!S209="X",1,"")</f>
        <v/>
      </c>
    </row>
    <row r="187" spans="1:14">
      <c r="A187" s="10"/>
      <c r="B187" s="11" t="s">
        <v>147</v>
      </c>
      <c r="C187" s="5" t="str">
        <f>IF('Besluit bodemkwaliteit'!H210="X",1,IF('Besluit bodemkwaliteit'!H210="2x",10,""))</f>
        <v/>
      </c>
      <c r="D187" s="5" t="str">
        <f>IF('Besluit bodemkwaliteit'!I210="X",1,IF('Besluit bodemkwaliteit'!I210="@",10,""))</f>
        <v/>
      </c>
      <c r="E187" s="5" t="str">
        <f>IF('Besluit bodemkwaliteit'!J210="X",1,"")</f>
        <v/>
      </c>
      <c r="F187" s="5" t="str">
        <f>IF('Besluit bodemkwaliteit'!K210="X",1,"")</f>
        <v/>
      </c>
      <c r="G187" s="5" t="str">
        <f>IF('Besluit bodemkwaliteit'!L210="X",1,"")</f>
        <v/>
      </c>
      <c r="H187" s="5" t="str">
        <f>IF('Besluit bodemkwaliteit'!M210="X",1,"")</f>
        <v/>
      </c>
      <c r="I187" s="5" t="str">
        <f>IF('Besluit bodemkwaliteit'!N210="X",1,"")</f>
        <v/>
      </c>
      <c r="J187" s="5" t="str">
        <f>IF('Besluit bodemkwaliteit'!O210="X",1,"")</f>
        <v/>
      </c>
      <c r="K187" s="5" t="str">
        <f>IF('Besluit bodemkwaliteit'!P210="X",1,"")</f>
        <v/>
      </c>
      <c r="L187" s="5" t="str">
        <f>IF('Besluit bodemkwaliteit'!Q210="X",1,"")</f>
        <v/>
      </c>
      <c r="M187" s="5" t="str">
        <f>IF('Besluit bodemkwaliteit'!R210="X",1,"")</f>
        <v/>
      </c>
      <c r="N187" s="5" t="str">
        <f>IF('Besluit bodemkwaliteit'!S210="X",1,"")</f>
        <v/>
      </c>
    </row>
    <row r="188" spans="1:14" ht="13.5" thickBot="1">
      <c r="A188" s="78"/>
      <c r="B188" s="79"/>
    </row>
    <row r="189" spans="1:14" ht="13.5" thickTop="1">
      <c r="A189" s="10"/>
      <c r="B189" s="11"/>
    </row>
    <row r="190" spans="1:14">
      <c r="A190" s="32">
        <v>8</v>
      </c>
      <c r="B190" s="44" t="s">
        <v>248</v>
      </c>
    </row>
    <row r="191" spans="1:14">
      <c r="A191" s="10"/>
      <c r="B191" s="11" t="s">
        <v>249</v>
      </c>
      <c r="C191" s="5" t="str">
        <f>IF('Besluit bodemkwaliteit'!H214="X",1,IF('Besluit bodemkwaliteit'!H214="2x",10,""))</f>
        <v/>
      </c>
      <c r="D191" s="5" t="str">
        <f>IF('Besluit bodemkwaliteit'!I214="X",1,IF('Besluit bodemkwaliteit'!I214="@",10,""))</f>
        <v/>
      </c>
      <c r="E191" s="5" t="str">
        <f>IF('Besluit bodemkwaliteit'!J214="X",1,"")</f>
        <v/>
      </c>
      <c r="F191" s="5" t="str">
        <f>IF('Besluit bodemkwaliteit'!K214="X",1,"")</f>
        <v/>
      </c>
      <c r="G191" s="5" t="str">
        <f>IF('Besluit bodemkwaliteit'!L214="X",1,"")</f>
        <v/>
      </c>
      <c r="H191" s="5" t="str">
        <f>IF('Besluit bodemkwaliteit'!M214="X",1,"")</f>
        <v/>
      </c>
      <c r="I191" s="5" t="str">
        <f>IF('Besluit bodemkwaliteit'!N214="X",1,"")</f>
        <v/>
      </c>
      <c r="J191" s="5" t="str">
        <f>IF('Besluit bodemkwaliteit'!O214="X",1,"")</f>
        <v/>
      </c>
      <c r="K191" s="5" t="str">
        <f>IF('Besluit bodemkwaliteit'!P214="X",1,"")</f>
        <v/>
      </c>
      <c r="L191" s="5" t="str">
        <f>IF('Besluit bodemkwaliteit'!Q214="X",1,"")</f>
        <v/>
      </c>
      <c r="M191" s="5" t="str">
        <f>IF('Besluit bodemkwaliteit'!R214="X",1,"")</f>
        <v/>
      </c>
      <c r="N191" s="5" t="str">
        <f>IF('Besluit bodemkwaliteit'!S214="X",1,"")</f>
        <v/>
      </c>
    </row>
    <row r="192" spans="1:14">
      <c r="A192" s="10"/>
      <c r="B192" s="11" t="s">
        <v>249</v>
      </c>
      <c r="C192" s="5" t="str">
        <f>IF('Besluit bodemkwaliteit'!H215="X",1,IF('Besluit bodemkwaliteit'!H215="2x",10,""))</f>
        <v/>
      </c>
      <c r="D192" s="5" t="str">
        <f>IF('Besluit bodemkwaliteit'!I215="X",1,IF('Besluit bodemkwaliteit'!I215="@",10,""))</f>
        <v/>
      </c>
      <c r="E192" s="5" t="str">
        <f>IF('Besluit bodemkwaliteit'!J215="X",1,"")</f>
        <v/>
      </c>
      <c r="F192" s="5" t="str">
        <f>IF('Besluit bodemkwaliteit'!K215="X",1,"")</f>
        <v/>
      </c>
      <c r="G192" s="5" t="str">
        <f>IF('Besluit bodemkwaliteit'!L215="X",1,"")</f>
        <v/>
      </c>
      <c r="H192" s="5" t="str">
        <f>IF('Besluit bodemkwaliteit'!M215="X",1,"")</f>
        <v/>
      </c>
      <c r="I192" s="5" t="str">
        <f>IF('Besluit bodemkwaliteit'!N215="X",1,"")</f>
        <v/>
      </c>
      <c r="J192" s="5" t="str">
        <f>IF('Besluit bodemkwaliteit'!O215="X",1,"")</f>
        <v/>
      </c>
      <c r="K192" s="5" t="str">
        <f>IF('Besluit bodemkwaliteit'!P215="X",1,"")</f>
        <v/>
      </c>
      <c r="L192" s="5" t="str">
        <f>IF('Besluit bodemkwaliteit'!Q215="X",1,"")</f>
        <v/>
      </c>
      <c r="M192" s="5" t="str">
        <f>IF('Besluit bodemkwaliteit'!R215="X",1,"")</f>
        <v/>
      </c>
      <c r="N192" s="5" t="str">
        <f>IF('Besluit bodemkwaliteit'!S215="X",1,"")</f>
        <v/>
      </c>
    </row>
    <row r="193" spans="1:14">
      <c r="A193" s="10"/>
      <c r="B193" s="11" t="s">
        <v>249</v>
      </c>
      <c r="C193" s="5" t="str">
        <f>IF('Besluit bodemkwaliteit'!H216="X",1,IF('Besluit bodemkwaliteit'!H216="2x",10,""))</f>
        <v/>
      </c>
      <c r="D193" s="5" t="str">
        <f>IF('Besluit bodemkwaliteit'!I216="X",1,IF('Besluit bodemkwaliteit'!I216="@",10,""))</f>
        <v/>
      </c>
      <c r="E193" s="5" t="str">
        <f>IF('Besluit bodemkwaliteit'!J216="X",1,"")</f>
        <v/>
      </c>
      <c r="F193" s="5" t="str">
        <f>IF('Besluit bodemkwaliteit'!K216="X",1,"")</f>
        <v/>
      </c>
      <c r="G193" s="5" t="str">
        <f>IF('Besluit bodemkwaliteit'!L216="X",1,"")</f>
        <v/>
      </c>
      <c r="H193" s="5" t="str">
        <f>IF('Besluit bodemkwaliteit'!M216="X",1,"")</f>
        <v/>
      </c>
      <c r="I193" s="5" t="str">
        <f>IF('Besluit bodemkwaliteit'!N216="X",1,"")</f>
        <v/>
      </c>
      <c r="J193" s="5" t="str">
        <f>IF('Besluit bodemkwaliteit'!O216="X",1,"")</f>
        <v/>
      </c>
      <c r="K193" s="5" t="str">
        <f>IF('Besluit bodemkwaliteit'!P216="X",1,"")</f>
        <v/>
      </c>
      <c r="L193" s="5" t="str">
        <f>IF('Besluit bodemkwaliteit'!Q216="X",1,"")</f>
        <v/>
      </c>
      <c r="M193" s="5" t="str">
        <f>IF('Besluit bodemkwaliteit'!R216="X",1,"")</f>
        <v/>
      </c>
      <c r="N193" s="5" t="str">
        <f>IF('Besluit bodemkwaliteit'!S216="X",1,"")</f>
        <v/>
      </c>
    </row>
    <row r="194" spans="1:14">
      <c r="A194" s="10"/>
      <c r="B194" s="11" t="s">
        <v>249</v>
      </c>
      <c r="C194" s="5" t="str">
        <f>IF('Besluit bodemkwaliteit'!H217="X",1,IF('Besluit bodemkwaliteit'!H217="2x",10,""))</f>
        <v/>
      </c>
      <c r="D194" s="5" t="str">
        <f>IF('Besluit bodemkwaliteit'!I217="X",1,IF('Besluit bodemkwaliteit'!I217="@",10,""))</f>
        <v/>
      </c>
      <c r="E194" s="5" t="str">
        <f>IF('Besluit bodemkwaliteit'!J217="X",1,"")</f>
        <v/>
      </c>
      <c r="F194" s="5" t="str">
        <f>IF('Besluit bodemkwaliteit'!K217="X",1,"")</f>
        <v/>
      </c>
      <c r="G194" s="5" t="str">
        <f>IF('Besluit bodemkwaliteit'!L217="X",1,"")</f>
        <v/>
      </c>
      <c r="H194" s="5" t="str">
        <f>IF('Besluit bodemkwaliteit'!M217="X",1,"")</f>
        <v/>
      </c>
      <c r="I194" s="5" t="str">
        <f>IF('Besluit bodemkwaliteit'!N217="X",1,"")</f>
        <v/>
      </c>
      <c r="J194" s="5" t="str">
        <f>IF('Besluit bodemkwaliteit'!O217="X",1,"")</f>
        <v/>
      </c>
      <c r="K194" s="5" t="str">
        <f>IF('Besluit bodemkwaliteit'!P217="X",1,"")</f>
        <v/>
      </c>
      <c r="L194" s="5" t="str">
        <f>IF('Besluit bodemkwaliteit'!Q217="X",1,"")</f>
        <v/>
      </c>
      <c r="M194" s="5" t="str">
        <f>IF('Besluit bodemkwaliteit'!R217="X",1,"")</f>
        <v/>
      </c>
      <c r="N194" s="5" t="str">
        <f>IF('Besluit bodemkwaliteit'!S217="X",1,"")</f>
        <v/>
      </c>
    </row>
    <row r="195" spans="1:14">
      <c r="A195" s="10"/>
      <c r="B195" s="11" t="s">
        <v>249</v>
      </c>
      <c r="C195" s="5" t="str">
        <f>IF('Besluit bodemkwaliteit'!H218="X",1,IF('Besluit bodemkwaliteit'!H218="2x",10,""))</f>
        <v/>
      </c>
      <c r="D195" s="5" t="str">
        <f>IF('Besluit bodemkwaliteit'!I218="X",1,IF('Besluit bodemkwaliteit'!I218="@",10,""))</f>
        <v/>
      </c>
      <c r="E195" s="5" t="str">
        <f>IF('Besluit bodemkwaliteit'!J218="X",1,"")</f>
        <v/>
      </c>
      <c r="F195" s="5" t="str">
        <f>IF('Besluit bodemkwaliteit'!K218="X",1,"")</f>
        <v/>
      </c>
      <c r="G195" s="5" t="str">
        <f>IF('Besluit bodemkwaliteit'!L218="X",1,"")</f>
        <v/>
      </c>
      <c r="H195" s="5" t="str">
        <f>IF('Besluit bodemkwaliteit'!M218="X",1,"")</f>
        <v/>
      </c>
      <c r="I195" s="5" t="str">
        <f>IF('Besluit bodemkwaliteit'!N218="X",1,"")</f>
        <v/>
      </c>
      <c r="J195" s="5" t="str">
        <f>IF('Besluit bodemkwaliteit'!O218="X",1,"")</f>
        <v/>
      </c>
      <c r="K195" s="5" t="str">
        <f>IF('Besluit bodemkwaliteit'!P218="X",1,"")</f>
        <v/>
      </c>
      <c r="L195" s="5" t="str">
        <f>IF('Besluit bodemkwaliteit'!Q218="X",1,"")</f>
        <v/>
      </c>
      <c r="M195" s="5" t="str">
        <f>IF('Besluit bodemkwaliteit'!R218="X",1,"")</f>
        <v/>
      </c>
      <c r="N195" s="5" t="str">
        <f>IF('Besluit bodemkwaliteit'!S218="X",1,"")</f>
        <v/>
      </c>
    </row>
    <row r="196" spans="1:14">
      <c r="A196" s="10"/>
      <c r="B196" s="11" t="s">
        <v>249</v>
      </c>
      <c r="C196" s="5" t="str">
        <f>IF('Besluit bodemkwaliteit'!H219="X",1,IF('Besluit bodemkwaliteit'!H219="2x",10,""))</f>
        <v/>
      </c>
      <c r="D196" s="5" t="str">
        <f>IF('Besluit bodemkwaliteit'!I219="X",1,IF('Besluit bodemkwaliteit'!I219="@",10,""))</f>
        <v/>
      </c>
      <c r="E196" s="5" t="str">
        <f>IF('Besluit bodemkwaliteit'!J219="X",1,"")</f>
        <v/>
      </c>
      <c r="F196" s="5" t="str">
        <f>IF('Besluit bodemkwaliteit'!K219="X",1,"")</f>
        <v/>
      </c>
      <c r="G196" s="5" t="str">
        <f>IF('Besluit bodemkwaliteit'!L219="X",1,"")</f>
        <v/>
      </c>
      <c r="H196" s="5" t="str">
        <f>IF('Besluit bodemkwaliteit'!M219="X",1,"")</f>
        <v/>
      </c>
      <c r="I196" s="5" t="str">
        <f>IF('Besluit bodemkwaliteit'!N219="X",1,"")</f>
        <v/>
      </c>
      <c r="J196" s="5" t="str">
        <f>IF('Besluit bodemkwaliteit'!O219="X",1,"")</f>
        <v/>
      </c>
      <c r="K196" s="5" t="str">
        <f>IF('Besluit bodemkwaliteit'!P219="X",1,"")</f>
        <v/>
      </c>
      <c r="L196" s="5" t="str">
        <f>IF('Besluit bodemkwaliteit'!Q219="X",1,"")</f>
        <v/>
      </c>
      <c r="M196" s="5" t="str">
        <f>IF('Besluit bodemkwaliteit'!R219="X",1,"")</f>
        <v/>
      </c>
      <c r="N196" s="5" t="str">
        <f>IF('Besluit bodemkwaliteit'!S219="X",1,"")</f>
        <v/>
      </c>
    </row>
    <row r="197" spans="1:14">
      <c r="A197" s="10"/>
      <c r="B197" s="11" t="s">
        <v>249</v>
      </c>
      <c r="C197" s="5" t="str">
        <f>IF('Besluit bodemkwaliteit'!H220="X",1,IF('Besluit bodemkwaliteit'!H220="2x",10,""))</f>
        <v/>
      </c>
      <c r="D197" s="5" t="str">
        <f>IF('Besluit bodemkwaliteit'!I220="X",1,IF('Besluit bodemkwaliteit'!I220="@",10,""))</f>
        <v/>
      </c>
      <c r="E197" s="5" t="str">
        <f>IF('Besluit bodemkwaliteit'!J220="X",1,"")</f>
        <v/>
      </c>
      <c r="F197" s="5" t="str">
        <f>IF('Besluit bodemkwaliteit'!K220="X",1,"")</f>
        <v/>
      </c>
      <c r="G197" s="5" t="str">
        <f>IF('Besluit bodemkwaliteit'!L220="X",1,"")</f>
        <v/>
      </c>
      <c r="H197" s="5" t="str">
        <f>IF('Besluit bodemkwaliteit'!M220="X",1,"")</f>
        <v/>
      </c>
      <c r="I197" s="5" t="str">
        <f>IF('Besluit bodemkwaliteit'!N220="X",1,"")</f>
        <v/>
      </c>
      <c r="J197" s="5" t="str">
        <f>IF('Besluit bodemkwaliteit'!O220="X",1,"")</f>
        <v/>
      </c>
      <c r="K197" s="5" t="str">
        <f>IF('Besluit bodemkwaliteit'!P220="X",1,"")</f>
        <v/>
      </c>
      <c r="L197" s="5" t="str">
        <f>IF('Besluit bodemkwaliteit'!Q220="X",1,"")</f>
        <v/>
      </c>
      <c r="M197" s="5" t="str">
        <f>IF('Besluit bodemkwaliteit'!R220="X",1,"")</f>
        <v/>
      </c>
      <c r="N197" s="5" t="str">
        <f>IF('Besluit bodemkwaliteit'!S220="X",1,"")</f>
        <v/>
      </c>
    </row>
    <row r="198" spans="1:14">
      <c r="A198" s="10"/>
      <c r="B198" s="11" t="s">
        <v>249</v>
      </c>
      <c r="C198" s="5" t="str">
        <f>IF('Besluit bodemkwaliteit'!H221="X",1,IF('Besluit bodemkwaliteit'!H221="2x",10,""))</f>
        <v/>
      </c>
      <c r="D198" s="5" t="str">
        <f>IF('Besluit bodemkwaliteit'!I221="X",1,IF('Besluit bodemkwaliteit'!I221="@",10,""))</f>
        <v/>
      </c>
      <c r="E198" s="5" t="str">
        <f>IF('Besluit bodemkwaliteit'!J221="X",1,"")</f>
        <v/>
      </c>
      <c r="F198" s="5" t="str">
        <f>IF('Besluit bodemkwaliteit'!K221="X",1,"")</f>
        <v/>
      </c>
      <c r="G198" s="5" t="str">
        <f>IF('Besluit bodemkwaliteit'!L221="X",1,"")</f>
        <v/>
      </c>
      <c r="H198" s="5" t="str">
        <f>IF('Besluit bodemkwaliteit'!M221="X",1,"")</f>
        <v/>
      </c>
      <c r="I198" s="5" t="str">
        <f>IF('Besluit bodemkwaliteit'!N221="X",1,"")</f>
        <v/>
      </c>
      <c r="J198" s="5" t="str">
        <f>IF('Besluit bodemkwaliteit'!O221="X",1,"")</f>
        <v/>
      </c>
      <c r="K198" s="5" t="str">
        <f>IF('Besluit bodemkwaliteit'!P221="X",1,"")</f>
        <v/>
      </c>
      <c r="L198" s="5" t="str">
        <f>IF('Besluit bodemkwaliteit'!Q221="X",1,"")</f>
        <v/>
      </c>
      <c r="M198" s="5" t="str">
        <f>IF('Besluit bodemkwaliteit'!R221="X",1,"")</f>
        <v/>
      </c>
      <c r="N198" s="5" t="str">
        <f>IF('Besluit bodemkwaliteit'!S221="X",1,"")</f>
        <v/>
      </c>
    </row>
    <row r="199" spans="1:14">
      <c r="A199" s="10"/>
      <c r="B199" s="11" t="s">
        <v>250</v>
      </c>
      <c r="C199" s="5" t="str">
        <f>IF('Besluit bodemkwaliteit'!H222="X",1,IF('Besluit bodemkwaliteit'!H222="2x",10,""))</f>
        <v/>
      </c>
      <c r="D199" s="5" t="str">
        <f>IF('Besluit bodemkwaliteit'!I222="X",1,IF('Besluit bodemkwaliteit'!I222="@",10,""))</f>
        <v/>
      </c>
      <c r="E199" s="5" t="str">
        <f>IF('Besluit bodemkwaliteit'!J222="X",1,"")</f>
        <v/>
      </c>
      <c r="F199" s="5" t="str">
        <f>IF('Besluit bodemkwaliteit'!K222="X",1,"")</f>
        <v/>
      </c>
      <c r="G199" s="5" t="str">
        <f>IF('Besluit bodemkwaliteit'!L222="X",1,"")</f>
        <v/>
      </c>
      <c r="H199" s="5" t="str">
        <f>IF('Besluit bodemkwaliteit'!M222="X",1,"")</f>
        <v/>
      </c>
      <c r="I199" s="5" t="str">
        <f>IF('Besluit bodemkwaliteit'!N222="X",1,"")</f>
        <v/>
      </c>
      <c r="J199" s="5" t="str">
        <f>IF('Besluit bodemkwaliteit'!O222="X",1,"")</f>
        <v/>
      </c>
      <c r="K199" s="5" t="str">
        <f>IF('Besluit bodemkwaliteit'!P222="X",1,"")</f>
        <v/>
      </c>
      <c r="L199" s="5" t="str">
        <f>IF('Besluit bodemkwaliteit'!Q222="X",1,"")</f>
        <v/>
      </c>
      <c r="M199" s="5" t="str">
        <f>IF('Besluit bodemkwaliteit'!R222="X",1,"")</f>
        <v/>
      </c>
      <c r="N199" s="5" t="str">
        <f>IF('Besluit bodemkwaliteit'!S222="X",1,"")</f>
        <v/>
      </c>
    </row>
    <row r="200" spans="1:14">
      <c r="A200" s="10"/>
      <c r="B200" s="11" t="s">
        <v>250</v>
      </c>
      <c r="C200" s="5" t="str">
        <f>IF('Besluit bodemkwaliteit'!H223="X",1,IF('Besluit bodemkwaliteit'!H223="2x",10,""))</f>
        <v/>
      </c>
      <c r="D200" s="5" t="str">
        <f>IF('Besluit bodemkwaliteit'!I223="X",1,IF('Besluit bodemkwaliteit'!I223="@",10,""))</f>
        <v/>
      </c>
      <c r="E200" s="5" t="str">
        <f>IF('Besluit bodemkwaliteit'!J223="X",1,"")</f>
        <v/>
      </c>
      <c r="F200" s="5" t="str">
        <f>IF('Besluit bodemkwaliteit'!K223="X",1,"")</f>
        <v/>
      </c>
      <c r="G200" s="5" t="str">
        <f>IF('Besluit bodemkwaliteit'!L223="X",1,"")</f>
        <v/>
      </c>
      <c r="H200" s="5" t="str">
        <f>IF('Besluit bodemkwaliteit'!M223="X",1,"")</f>
        <v/>
      </c>
      <c r="I200" s="5" t="str">
        <f>IF('Besluit bodemkwaliteit'!N223="X",1,"")</f>
        <v/>
      </c>
      <c r="J200" s="5" t="str">
        <f>IF('Besluit bodemkwaliteit'!O223="X",1,"")</f>
        <v/>
      </c>
      <c r="K200" s="5" t="str">
        <f>IF('Besluit bodemkwaliteit'!P223="X",1,"")</f>
        <v/>
      </c>
      <c r="L200" s="5" t="str">
        <f>IF('Besluit bodemkwaliteit'!Q223="X",1,"")</f>
        <v/>
      </c>
      <c r="M200" s="5" t="str">
        <f>IF('Besluit bodemkwaliteit'!R223="X",1,"")</f>
        <v/>
      </c>
      <c r="N200" s="5" t="str">
        <f>IF('Besluit bodemkwaliteit'!S223="X",1,"")</f>
        <v/>
      </c>
    </row>
    <row r="201" spans="1:14">
      <c r="A201" s="10"/>
      <c r="B201" s="11" t="s">
        <v>250</v>
      </c>
      <c r="C201" s="5" t="str">
        <f>IF('Besluit bodemkwaliteit'!H224="X",1,IF('Besluit bodemkwaliteit'!H224="2x",10,""))</f>
        <v/>
      </c>
      <c r="D201" s="5" t="str">
        <f>IF('Besluit bodemkwaliteit'!I224="X",1,IF('Besluit bodemkwaliteit'!I224="@",10,""))</f>
        <v/>
      </c>
      <c r="E201" s="5" t="str">
        <f>IF('Besluit bodemkwaliteit'!J224="X",1,"")</f>
        <v/>
      </c>
      <c r="F201" s="5" t="str">
        <f>IF('Besluit bodemkwaliteit'!K224="X",1,"")</f>
        <v/>
      </c>
      <c r="G201" s="5" t="str">
        <f>IF('Besluit bodemkwaliteit'!L224="X",1,"")</f>
        <v/>
      </c>
      <c r="H201" s="5" t="str">
        <f>IF('Besluit bodemkwaliteit'!M224="X",1,"")</f>
        <v/>
      </c>
      <c r="I201" s="5" t="str">
        <f>IF('Besluit bodemkwaliteit'!N224="X",1,"")</f>
        <v/>
      </c>
      <c r="J201" s="5" t="str">
        <f>IF('Besluit bodemkwaliteit'!O224="X",1,"")</f>
        <v/>
      </c>
      <c r="K201" s="5" t="str">
        <f>IF('Besluit bodemkwaliteit'!P224="X",1,"")</f>
        <v/>
      </c>
      <c r="L201" s="5" t="str">
        <f>IF('Besluit bodemkwaliteit'!Q224="X",1,"")</f>
        <v/>
      </c>
      <c r="M201" s="5" t="str">
        <f>IF('Besluit bodemkwaliteit'!R224="X",1,"")</f>
        <v/>
      </c>
      <c r="N201" s="5" t="str">
        <f>IF('Besluit bodemkwaliteit'!S224="X",1,"")</f>
        <v/>
      </c>
    </row>
    <row r="202" spans="1:14">
      <c r="A202" s="10"/>
      <c r="B202" s="11" t="s">
        <v>250</v>
      </c>
      <c r="C202" s="5" t="str">
        <f>IF('Besluit bodemkwaliteit'!H225="X",1,IF('Besluit bodemkwaliteit'!H225="2x",10,""))</f>
        <v/>
      </c>
      <c r="D202" s="5" t="str">
        <f>IF('Besluit bodemkwaliteit'!I225="X",1,IF('Besluit bodemkwaliteit'!I225="@",10,""))</f>
        <v/>
      </c>
      <c r="E202" s="5" t="str">
        <f>IF('Besluit bodemkwaliteit'!J225="X",1,"")</f>
        <v/>
      </c>
      <c r="F202" s="5" t="str">
        <f>IF('Besluit bodemkwaliteit'!K225="X",1,"")</f>
        <v/>
      </c>
      <c r="G202" s="5" t="str">
        <f>IF('Besluit bodemkwaliteit'!L225="X",1,"")</f>
        <v/>
      </c>
      <c r="H202" s="5" t="str">
        <f>IF('Besluit bodemkwaliteit'!M225="X",1,"")</f>
        <v/>
      </c>
      <c r="I202" s="5" t="str">
        <f>IF('Besluit bodemkwaliteit'!N225="X",1,"")</f>
        <v/>
      </c>
      <c r="J202" s="5" t="str">
        <f>IF('Besluit bodemkwaliteit'!O225="X",1,"")</f>
        <v/>
      </c>
      <c r="K202" s="5" t="str">
        <f>IF('Besluit bodemkwaliteit'!P225="X",1,"")</f>
        <v/>
      </c>
      <c r="L202" s="5" t="str">
        <f>IF('Besluit bodemkwaliteit'!Q225="X",1,"")</f>
        <v/>
      </c>
      <c r="M202" s="5" t="str">
        <f>IF('Besluit bodemkwaliteit'!R225="X",1,"")</f>
        <v/>
      </c>
      <c r="N202" s="5" t="str">
        <f>IF('Besluit bodemkwaliteit'!S225="X",1,"")</f>
        <v/>
      </c>
    </row>
    <row r="203" spans="1:14">
      <c r="A203" s="10"/>
      <c r="B203" s="11" t="s">
        <v>250</v>
      </c>
      <c r="C203" s="5" t="str">
        <f>IF('Besluit bodemkwaliteit'!H226="X",1,IF('Besluit bodemkwaliteit'!H226="2x",10,""))</f>
        <v/>
      </c>
      <c r="D203" s="5" t="str">
        <f>IF('Besluit bodemkwaliteit'!I226="X",1,IF('Besluit bodemkwaliteit'!I226="@",10,""))</f>
        <v/>
      </c>
      <c r="E203" s="5" t="str">
        <f>IF('Besluit bodemkwaliteit'!J226="X",1,"")</f>
        <v/>
      </c>
      <c r="F203" s="5" t="str">
        <f>IF('Besluit bodemkwaliteit'!K226="X",1,"")</f>
        <v/>
      </c>
      <c r="G203" s="5" t="str">
        <f>IF('Besluit bodemkwaliteit'!L226="X",1,"")</f>
        <v/>
      </c>
      <c r="H203" s="5" t="str">
        <f>IF('Besluit bodemkwaliteit'!M226="X",1,"")</f>
        <v/>
      </c>
      <c r="I203" s="5" t="str">
        <f>IF('Besluit bodemkwaliteit'!N226="X",1,"")</f>
        <v/>
      </c>
      <c r="J203" s="5" t="str">
        <f>IF('Besluit bodemkwaliteit'!O226="X",1,"")</f>
        <v/>
      </c>
      <c r="K203" s="5" t="str">
        <f>IF('Besluit bodemkwaliteit'!P226="X",1,"")</f>
        <v/>
      </c>
      <c r="L203" s="5" t="str">
        <f>IF('Besluit bodemkwaliteit'!Q226="X",1,"")</f>
        <v/>
      </c>
      <c r="M203" s="5" t="str">
        <f>IF('Besluit bodemkwaliteit'!R226="X",1,"")</f>
        <v/>
      </c>
      <c r="N203" s="5" t="str">
        <f>IF('Besluit bodemkwaliteit'!S226="X",1,"")</f>
        <v/>
      </c>
    </row>
    <row r="204" spans="1:14">
      <c r="A204" s="10"/>
      <c r="B204" s="11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>
      <c r="A205" s="10"/>
      <c r="B205" s="11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>
      <c r="A206" s="10"/>
      <c r="B206" s="11"/>
      <c r="E206" s="5"/>
      <c r="F206" s="5"/>
      <c r="G206" s="5"/>
      <c r="H206" s="42" t="s">
        <v>395</v>
      </c>
      <c r="I206" s="5"/>
      <c r="J206" s="5"/>
      <c r="K206" s="5"/>
      <c r="L206" s="5"/>
      <c r="M206" s="5"/>
      <c r="N206" s="5"/>
    </row>
    <row r="207" spans="1:14">
      <c r="A207" s="10"/>
      <c r="B207" s="11"/>
      <c r="E207" s="5"/>
      <c r="F207" s="5"/>
      <c r="G207" s="5"/>
      <c r="H207" s="215">
        <f>SUM(H209:H211)</f>
        <v>1</v>
      </c>
      <c r="I207" s="214" t="s">
        <v>397</v>
      </c>
      <c r="J207" s="5"/>
      <c r="K207" s="5"/>
      <c r="L207" s="5"/>
      <c r="M207" s="5"/>
      <c r="N207" s="5"/>
    </row>
    <row r="208" spans="1:14">
      <c r="A208" s="10"/>
      <c r="B208" s="11"/>
      <c r="E208" s="5"/>
      <c r="F208" s="5"/>
      <c r="G208" s="5"/>
      <c r="H208" s="215">
        <v>0</v>
      </c>
      <c r="I208" s="1" t="s">
        <v>400</v>
      </c>
      <c r="J208" s="5"/>
      <c r="K208" s="5"/>
      <c r="L208" s="5"/>
      <c r="M208" s="5"/>
      <c r="N208" s="5"/>
    </row>
    <row r="209" spans="1:15">
      <c r="A209" s="10"/>
      <c r="B209" s="11"/>
      <c r="E209" s="5"/>
      <c r="F209" s="5"/>
      <c r="G209" s="5"/>
      <c r="H209" s="12">
        <f>IF('Besluit bodemkwaliteit'!E26="",1,IF('Besluit bodemkwaliteit'!E26&lt;5,1,0))</f>
        <v>1</v>
      </c>
      <c r="I209" s="214" t="s">
        <v>398</v>
      </c>
      <c r="J209" s="5"/>
      <c r="K209" s="5"/>
      <c r="L209" s="5"/>
      <c r="M209" s="5"/>
      <c r="N209" s="5"/>
    </row>
    <row r="210" spans="1:15">
      <c r="A210" s="10"/>
      <c r="B210" s="11" t="s">
        <v>419</v>
      </c>
      <c r="E210" s="5">
        <f>IF('Besluit bodemkwaliteit'!J$195="X",1,IF('Besluit bodemkwaliteit'!J$195="4X",4,0))</f>
        <v>0</v>
      </c>
      <c r="F210" s="5"/>
      <c r="G210" s="5"/>
      <c r="H210" s="215">
        <f>IF(start!H22=7,1,0)</f>
        <v>0</v>
      </c>
      <c r="I210" s="214" t="s">
        <v>396</v>
      </c>
      <c r="J210" s="5"/>
      <c r="K210" s="5"/>
      <c r="L210" s="5"/>
      <c r="M210" s="5"/>
      <c r="N210" s="5"/>
    </row>
    <row r="211" spans="1:15">
      <c r="B211" s="1" t="s">
        <v>625</v>
      </c>
      <c r="E211" s="5">
        <f>IF(H211=1,IF('Besluit bodemkwaliteit'!J195="4X",1,0),IF('Besluit bodemkwaliteit'!J195="4X",1,E210))</f>
        <v>0</v>
      </c>
      <c r="H211" s="215">
        <f>IF(start!H22=10,1,0)</f>
        <v>0</v>
      </c>
      <c r="I211" s="1" t="s">
        <v>629</v>
      </c>
    </row>
    <row r="212" spans="1:15">
      <c r="C212" s="33" t="s">
        <v>229</v>
      </c>
      <c r="D212" s="68" t="s">
        <v>228</v>
      </c>
      <c r="E212" s="68" t="s">
        <v>227</v>
      </c>
      <c r="F212" s="68" t="s">
        <v>298</v>
      </c>
      <c r="G212" s="68" t="s">
        <v>299</v>
      </c>
      <c r="H212" s="68" t="s">
        <v>300</v>
      </c>
      <c r="I212" s="68" t="s">
        <v>301</v>
      </c>
      <c r="J212" s="68" t="s">
        <v>170</v>
      </c>
      <c r="K212" s="68" t="s">
        <v>171</v>
      </c>
      <c r="L212" s="68" t="s">
        <v>172</v>
      </c>
      <c r="M212" s="68" t="s">
        <v>302</v>
      </c>
      <c r="N212" s="68" t="s">
        <v>185</v>
      </c>
    </row>
    <row r="213" spans="1:15">
      <c r="C213" s="5">
        <f t="shared" ref="C213:N213" ca="1" si="1">SUM(C1:C210)</f>
        <v>0</v>
      </c>
      <c r="D213" s="5">
        <f t="shared" ca="1" si="1"/>
        <v>0</v>
      </c>
      <c r="E213" s="4">
        <f ca="1">SUM(E$1:E$210)</f>
        <v>0</v>
      </c>
      <c r="F213" s="5">
        <f t="shared" ca="1" si="1"/>
        <v>0</v>
      </c>
      <c r="G213" s="5">
        <f t="shared" ca="1" si="1"/>
        <v>0</v>
      </c>
      <c r="H213" s="5">
        <f>SUM(H1:H35)</f>
        <v>0</v>
      </c>
      <c r="I213" s="5">
        <f t="shared" ca="1" si="1"/>
        <v>0</v>
      </c>
      <c r="J213" s="5">
        <f t="shared" si="1"/>
        <v>0</v>
      </c>
      <c r="K213" s="5">
        <f t="shared" ca="1" si="1"/>
        <v>0</v>
      </c>
      <c r="L213" s="5">
        <f t="shared" ca="1" si="1"/>
        <v>0</v>
      </c>
      <c r="M213" s="5">
        <f t="shared" si="1"/>
        <v>0</v>
      </c>
      <c r="N213" s="5">
        <f t="shared" si="1"/>
        <v>0</v>
      </c>
    </row>
    <row r="214" spans="1:15">
      <c r="D214" s="229">
        <f ca="1">SUM(D16:D108)+SUM(D5:D14)+SUM(D112:D203)+O15+O109</f>
        <v>0</v>
      </c>
      <c r="E214" s="4">
        <f ca="1">SUM(E$1:E$210)</f>
        <v>0</v>
      </c>
      <c r="F214" s="8"/>
      <c r="H214" s="5">
        <f>IF(H207&gt;0,1,IF(start!D11=1,0,1))</f>
        <v>1</v>
      </c>
      <c r="I214" s="8" t="s">
        <v>331</v>
      </c>
    </row>
    <row r="215" spans="1:15">
      <c r="B215" s="106" t="s">
        <v>303</v>
      </c>
      <c r="C215" s="132">
        <f ca="1">IF(C213&gt;'Besluit bodemkwaliteit'!Q235,1,0)</f>
        <v>0</v>
      </c>
      <c r="D215" s="132">
        <f ca="1">IF(D213&gt;'Besluit bodemkwaliteit'!Q236,1,0)</f>
        <v>0</v>
      </c>
      <c r="E215" s="4">
        <f ca="1">IF(E213&gt;0,1,0)</f>
        <v>0</v>
      </c>
      <c r="F215" s="132">
        <f t="shared" ref="F215:N215" ca="1" si="2">IF(F213&gt;0,1,0)</f>
        <v>0</v>
      </c>
      <c r="G215" s="132">
        <f t="shared" ca="1" si="2"/>
        <v>0</v>
      </c>
      <c r="H215" s="132">
        <f t="shared" si="2"/>
        <v>0</v>
      </c>
      <c r="I215" s="132">
        <f t="shared" ca="1" si="2"/>
        <v>0</v>
      </c>
      <c r="J215" s="132">
        <f t="shared" si="2"/>
        <v>0</v>
      </c>
      <c r="K215" s="132">
        <f t="shared" ca="1" si="2"/>
        <v>0</v>
      </c>
      <c r="L215" s="132">
        <f t="shared" ca="1" si="2"/>
        <v>0</v>
      </c>
      <c r="M215" s="132">
        <f t="shared" si="2"/>
        <v>0</v>
      </c>
      <c r="N215" s="132">
        <f t="shared" si="2"/>
        <v>0</v>
      </c>
    </row>
    <row r="216" spans="1:15">
      <c r="B216" s="105" t="str">
        <f ca="1">IF(C215=0,"generiek toepasbaar als achtegrondwaarde op land en onder oppervlaktewater. H4.2.2.2 RBK van toepassing","")</f>
        <v>generiek toepasbaar als achtegrondwaarde op land en onder oppervlaktewater. H4.2.2.2 RBK van toepassing</v>
      </c>
      <c r="E216" s="420"/>
    </row>
    <row r="217" spans="1:15">
      <c r="B217" s="105" t="str">
        <f ca="1">IF(D215=1,"landbodem wordt niet gekwalificeerd als wonen. H4.10.2 RBK niet van toepassing","aan de norm voor wonen wordt voldaan")</f>
        <v>aan de norm voor wonen wordt voldaan</v>
      </c>
      <c r="I217" s="105" t="str">
        <f ca="1">IF(I215=0,"aan de achtergrondwaarde wordt voldaan","niet onder water toepasbaar als achtergrondwaarde")</f>
        <v>aan de achtergrondwaarde wordt voldaan</v>
      </c>
    </row>
    <row r="218" spans="1:15">
      <c r="B218" s="105" t="str">
        <f ca="1">IF(E215=1,"niet op land toepasbare grond of bagger","aan de norm voor industrie wordt voldaan")</f>
        <v>aan de norm voor industrie wordt voldaan</v>
      </c>
      <c r="I218" s="105" t="str">
        <f>IF(J215=0,"als klasse A toepasbaar onder oppervlaktewater","niet als klasse A onder water toepasbaar")</f>
        <v>als klasse A toepasbaar onder oppervlaktewater</v>
      </c>
    </row>
    <row r="219" spans="1:15">
      <c r="B219" s="105" t="str">
        <f ca="1">IF(F215=1,"mogelijk geval van ernstige bodemverontreiniging","geen geval van ernstige bodemverontreiniging")</f>
        <v>geen geval van ernstige bodemverontreiniging</v>
      </c>
      <c r="I219" s="105" t="str">
        <f ca="1">IF(K215=0,"als klasse B toepasbaar slib onder oppervlaktewater","sss")</f>
        <v>als klasse B toepasbaar slib onder oppervlaktewater</v>
      </c>
    </row>
    <row r="220" spans="1:15">
      <c r="B220" s="105" t="str">
        <f ca="1">IF(E215=1,"geen uitloogonderzoek noodzakelijk",IF(H215*(H209+H214)=0,"geen uitloogonderzoek noodzakelijk","uitloogonderzoek noodzakelijk"))</f>
        <v>geen uitloogonderzoek noodzakelijk</v>
      </c>
      <c r="I220" s="105" t="str">
        <f ca="1">IF(E215=0,"als klasse B toepasbare grond onder oppervlaktewater","ccc")</f>
        <v>als klasse B toepasbare grond onder oppervlaktewater</v>
      </c>
    </row>
    <row r="222" spans="1:15">
      <c r="B222" s="106" t="s">
        <v>623</v>
      </c>
      <c r="C222" s="137" t="s">
        <v>624</v>
      </c>
      <c r="D222" s="132"/>
      <c r="E222" s="107"/>
      <c r="F222" s="8" t="s">
        <v>626</v>
      </c>
      <c r="I222" s="106" t="s">
        <v>318</v>
      </c>
      <c r="J222" s="107"/>
      <c r="K222" s="107"/>
      <c r="L222" s="106" t="s">
        <v>317</v>
      </c>
      <c r="M222" s="107"/>
      <c r="N222" s="107"/>
      <c r="O222" s="218" t="s">
        <v>405</v>
      </c>
    </row>
    <row r="223" spans="1:15">
      <c r="B223" s="105" t="str">
        <f ca="1">IF($E$213-K237&gt;0,"niet toepasbaar",IF($R$35&gt;1,"niet toepasbaar",IF($H$215*($H$209+$H$214)&gt;0,"uitlogen",IF($F$223&gt;0,"industrie",IF($C$215&gt;0,"wonen","achtergrondwaarde")))))</f>
        <v>achtergrondwaarde</v>
      </c>
      <c r="C223" s="105" t="str">
        <f ca="1">IF($E213-K237&gt;0,"niet toepasbaar",IF(R35&gt;1,"niet toepasbaar",IF($H215&gt;0,"uitlogen",IF(F223&gt;0,"industrie",IF($C215&gt;0,"wonen","achtergrondwaarde")))))</f>
        <v>achtergrondwaarde</v>
      </c>
      <c r="F223" s="147">
        <f ca="1">IF(C213&gt;'Besluit bodemkwaliteit'!Q235,D213,D214)</f>
        <v>0</v>
      </c>
      <c r="I223" s="105" t="str">
        <f ca="1">IF($K215&gt;0,"niet toepasbaar",IF(R35&gt;1,"niet toepasbaar",IF(K231=1,"niet toepasbaar",IF(H213*($H214-H208)&gt;0,"uitlogen",IF($J215&gt;0,"klasse B",IF($I213&gt;0,"klasse A","achtergrondwaarde"))))))</f>
        <v>achtergrondwaarde</v>
      </c>
      <c r="L223" s="105" t="str">
        <f ca="1">IF($K215&gt;0,"niet toepasbaar",IF($R35&gt;1,"niet toepasbaar",IF($K231=1,"niet toepasbaar",IF($H213*($H214-$H208)&gt;0,"uitlogen",IF($J215&gt;0,"klasse B",IF($I215&gt;0,"klasse A","achtergrondwaarde"))))))</f>
        <v>achtergrondwaarde</v>
      </c>
      <c r="O223" s="105" t="str">
        <f ca="1">IF($K215&gt;0,"niet toepasbaar",IF($K231=1,"niet toepasbaar",IF($J215&gt;0,"klasse B",IF($I215&gt;0,"klasse A","achtergrondwaarde"))))</f>
        <v>achtergrondwaarde</v>
      </c>
    </row>
    <row r="224" spans="1:15">
      <c r="B224" s="138" t="s">
        <v>404</v>
      </c>
      <c r="I224" s="105"/>
    </row>
    <row r="225" spans="2:12">
      <c r="B225" s="105" t="str">
        <f ca="1">IF(MAX(E213:E214)&gt;0,"niet toepasbaar",IF(K237=1,"niet toepasbaar",IF($F$223&gt;0,"industrie",IF($C$215&gt;0,"wonen","achtergrondwaarde"))))</f>
        <v>achtergrondwaarde</v>
      </c>
      <c r="I225" s="105"/>
    </row>
    <row r="226" spans="2:12">
      <c r="B226" s="148" t="s">
        <v>319</v>
      </c>
      <c r="I226" s="150" t="s">
        <v>320</v>
      </c>
      <c r="J226" s="108"/>
      <c r="K226" s="109"/>
    </row>
    <row r="227" spans="2:12">
      <c r="B227" s="149" t="str">
        <f ca="1">IF(K229=1,"NVT",IF(C213=0,"achtergrondwaarde",IF(D215=0,"wonen",IF(MAX(E213:E214)=0,"industrie","géén (&gt;Industrie)"))))</f>
        <v>achtergrondwaarde</v>
      </c>
      <c r="I227" s="110" t="str">
        <f>IF(K229=0,"NVT",IF(I215=0,"achtergrondwaarde",IF(J215=0,"klasse A",IF(K215=0,"klasse B","sterk verontreinigde waterbodem"))))</f>
        <v>NVT</v>
      </c>
      <c r="J227" s="107"/>
      <c r="K227" s="111"/>
    </row>
    <row r="228" spans="2:12">
      <c r="B228" s="138"/>
      <c r="I228" s="138"/>
    </row>
    <row r="229" spans="2:12">
      <c r="E229" s="42"/>
      <c r="K229" s="5">
        <f>H211</f>
        <v>0</v>
      </c>
    </row>
    <row r="230" spans="2:12">
      <c r="E230" s="42"/>
      <c r="K230" s="8" t="s">
        <v>629</v>
      </c>
    </row>
    <row r="231" spans="2:12">
      <c r="K231" s="5">
        <f ca="1">IF(K229=0,IF(E215&gt;0,1,0),0)</f>
        <v>0</v>
      </c>
      <c r="L231" t="s">
        <v>621</v>
      </c>
    </row>
    <row r="232" spans="2:12" hidden="1"/>
    <row r="233" spans="2:12" hidden="1"/>
    <row r="234" spans="2:12" hidden="1"/>
    <row r="235" spans="2:12" hidden="1"/>
    <row r="236" spans="2:12" hidden="1"/>
    <row r="237" spans="2:12">
      <c r="B237" s="134"/>
      <c r="C237" s="134" t="s">
        <v>305</v>
      </c>
      <c r="D237" s="134" t="s">
        <v>306</v>
      </c>
      <c r="E237" s="134" t="s">
        <v>307</v>
      </c>
      <c r="F237" s="134" t="s">
        <v>308</v>
      </c>
      <c r="G237" s="134" t="s">
        <v>309</v>
      </c>
      <c r="H237" s="134" t="s">
        <v>278</v>
      </c>
      <c r="K237" s="5">
        <f>IF(H211=1,IF('Besluit bodemkwaliteit'!G195&gt;500,IF('Besluit bodemkwaliteit'!G195&lt;2000.01,1,0),0),0)</f>
        <v>0</v>
      </c>
      <c r="L237" t="s">
        <v>622</v>
      </c>
    </row>
    <row r="238" spans="2:12">
      <c r="B238" s="134" t="s">
        <v>310</v>
      </c>
      <c r="C238" s="135">
        <f>'analyse import'!L14</f>
        <v>0</v>
      </c>
      <c r="D238" s="135">
        <f>C238</f>
        <v>0</v>
      </c>
      <c r="E238" s="134">
        <f>IF($C238&lt;3.01,1,0)</f>
        <v>1</v>
      </c>
      <c r="F238" s="134">
        <f>IF($C238&lt;3.01,1,0)</f>
        <v>1</v>
      </c>
      <c r="G238" s="134">
        <f>IF($C238&lt;5.01,1,0)</f>
        <v>1</v>
      </c>
      <c r="H238" s="134"/>
    </row>
    <row r="239" spans="2:12">
      <c r="B239" s="134" t="s">
        <v>311</v>
      </c>
      <c r="C239" s="135">
        <f>IF('analyse import'!H16+'analyse import'!I16&gt;0,'analyse import'!L16,2.2*'analyse import'!L15)</f>
        <v>0</v>
      </c>
      <c r="D239" s="135">
        <f>C239*100/C243</f>
        <v>0</v>
      </c>
      <c r="E239" s="134">
        <f>IF(C239&gt;0.1,IF($C239&lt;5.01,1,0),0)</f>
        <v>0</v>
      </c>
      <c r="F239" s="134">
        <f>IF(C239&gt;0,IF($C239&lt;15.01,1,0),0)</f>
        <v>0</v>
      </c>
      <c r="G239" s="134">
        <f>IF(C239&gt;0,IF(C239&lt;50.01,1,0),0)</f>
        <v>0</v>
      </c>
      <c r="H239" s="134"/>
    </row>
    <row r="240" spans="2:12">
      <c r="B240" s="134" t="s">
        <v>312</v>
      </c>
      <c r="C240" s="135">
        <f>'analyse import'!L15</f>
        <v>0</v>
      </c>
      <c r="D240" s="135">
        <f>C240*100/C243</f>
        <v>0</v>
      </c>
      <c r="E240" s="134"/>
      <c r="F240" s="134"/>
      <c r="G240" s="134">
        <f>IF(C240&lt;8.01,1,0)</f>
        <v>1</v>
      </c>
      <c r="H240" s="134"/>
    </row>
    <row r="241" spans="2:10">
      <c r="B241" s="134" t="s">
        <v>313</v>
      </c>
      <c r="C241" s="135"/>
      <c r="D241" s="135">
        <f>IF(C241&gt;0,C241,(D239+D240)*20/63+D240)</f>
        <v>0</v>
      </c>
      <c r="E241" s="134"/>
      <c r="F241" s="134">
        <f>IF(C239&lt;15.01,IF(C239&lt;10.01,1,IF(D241&lt;3.01,1,0)),0)</f>
        <v>1</v>
      </c>
      <c r="G241" s="134"/>
      <c r="H241" s="134"/>
    </row>
    <row r="242" spans="2:10">
      <c r="B242" s="134" t="s">
        <v>314</v>
      </c>
      <c r="C242" s="136"/>
      <c r="D242" s="134"/>
      <c r="E242" s="134">
        <f>E238*E239</f>
        <v>0</v>
      </c>
      <c r="F242" s="134">
        <f>F238*F239*F241</f>
        <v>0</v>
      </c>
      <c r="G242" s="134">
        <f>G238*G239*G240</f>
        <v>0</v>
      </c>
      <c r="H242" s="134">
        <f>SUM(E242:G242)</f>
        <v>0</v>
      </c>
      <c r="J242" t="str">
        <f>IF(E242=1,"drainzand",IF(F242=1,"zand voor zandbed",IF(G242=1,"ophoogzand",IF(H242=0,"grond"))))</f>
        <v>grond</v>
      </c>
    </row>
    <row r="243" spans="2:10">
      <c r="B243" s="134" t="s">
        <v>321</v>
      </c>
      <c r="C243" s="5">
        <f>IF('analyse import'!D17&gt;0,'analyse import'!D17,100)</f>
        <v>100</v>
      </c>
    </row>
    <row r="246" spans="2:10">
      <c r="B246" s="227" t="s">
        <v>417</v>
      </c>
      <c r="C246" s="5">
        <f>start!H27</f>
        <v>500</v>
      </c>
      <c r="D246" s="42" t="s">
        <v>5</v>
      </c>
    </row>
    <row r="247" spans="2:10">
      <c r="B247" s="8" t="s">
        <v>418</v>
      </c>
      <c r="C247" s="228" t="str">
        <f>'Besluit bodemkwaliteit'!G195</f>
        <v/>
      </c>
    </row>
    <row r="248" spans="2:10">
      <c r="B248" s="8"/>
    </row>
  </sheetData>
  <sheetProtection selectLockedCells="1" selectUnlockedCells="1"/>
  <mergeCells count="2">
    <mergeCell ref="O1:O4"/>
    <mergeCell ref="P1:P4"/>
  </mergeCells>
  <phoneticPr fontId="2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M25"/>
  <sheetViews>
    <sheetView workbookViewId="0">
      <selection activeCell="I21" sqref="I21"/>
    </sheetView>
  </sheetViews>
  <sheetFormatPr defaultRowHeight="12.75"/>
  <cols>
    <col min="1" max="1" width="18.85546875" customWidth="1"/>
    <col min="5" max="5" width="3.140625" customWidth="1"/>
    <col min="6" max="7" width="15.7109375" customWidth="1"/>
    <col min="8" max="9" width="15.7109375" style="5" customWidth="1"/>
    <col min="10" max="10" width="17.85546875" customWidth="1"/>
    <col min="11" max="11" width="9.140625" style="5"/>
  </cols>
  <sheetData>
    <row r="1" spans="1:13">
      <c r="H1" s="46" t="s">
        <v>269</v>
      </c>
      <c r="J1" s="506" t="s">
        <v>449</v>
      </c>
      <c r="K1" s="506"/>
      <c r="L1" s="5" t="s">
        <v>650</v>
      </c>
    </row>
    <row r="2" spans="1:13">
      <c r="A2" t="s">
        <v>192</v>
      </c>
      <c r="F2" s="6">
        <f ca="1">'Besluit bodemkwaliteit'!C23</f>
        <v>0</v>
      </c>
      <c r="G2" s="6">
        <f ca="1">'Besluit bodemkwaliteit'!D23</f>
        <v>0</v>
      </c>
      <c r="H2" s="112">
        <f ca="1">IF($F2&lt;2,2,$F2)</f>
        <v>2</v>
      </c>
      <c r="I2" s="112">
        <f ca="1">IF($G2&lt;2,2,$G2)</f>
        <v>2</v>
      </c>
      <c r="J2" s="413" t="s">
        <v>270</v>
      </c>
      <c r="K2" s="413" t="s">
        <v>270</v>
      </c>
      <c r="L2" s="5"/>
      <c r="M2" s="8"/>
    </row>
    <row r="3" spans="1:13">
      <c r="A3" t="s">
        <v>193</v>
      </c>
      <c r="F3" s="6">
        <f ca="1">'Besluit bodemkwaliteit'!C22</f>
        <v>0</v>
      </c>
      <c r="G3" s="6">
        <f ca="1">'Besluit bodemkwaliteit'!D22</f>
        <v>0</v>
      </c>
      <c r="H3" s="112">
        <f ca="1">IF($F3&lt;2,2,$F3)</f>
        <v>2</v>
      </c>
      <c r="I3" s="112">
        <f ca="1">IF($G3&lt;2,2,$G3)</f>
        <v>2</v>
      </c>
      <c r="J3" s="112">
        <f ca="1">IF(F3&gt;2,IF(F3&gt;30,30,F3),2)</f>
        <v>2</v>
      </c>
      <c r="K3" s="112">
        <f ca="1">IF(G3&gt;2,IF(G3&gt;30,30,G3),2)</f>
        <v>2</v>
      </c>
      <c r="L3" s="112">
        <f ca="1">AVERAGE(J3:K3)</f>
        <v>2</v>
      </c>
      <c r="M3" s="112"/>
    </row>
    <row r="4" spans="1:13">
      <c r="A4" s="107" t="s">
        <v>195</v>
      </c>
      <c r="B4" s="107"/>
      <c r="C4" s="107"/>
      <c r="D4" s="107"/>
      <c r="E4" s="107"/>
      <c r="F4" s="107"/>
      <c r="G4" s="107"/>
      <c r="H4" s="113">
        <f ca="1">IF(F3&gt;30,30,IF(F3&lt;10,10,F3))</f>
        <v>10</v>
      </c>
      <c r="I4" s="113">
        <f ca="1">IF(G3&gt;30,30,IF(G3&lt;10,10,G3))</f>
        <v>10</v>
      </c>
      <c r="J4" s="132"/>
      <c r="K4" s="113"/>
      <c r="L4" s="107"/>
      <c r="M4" s="113"/>
    </row>
    <row r="5" spans="1:13">
      <c r="A5" t="s">
        <v>235</v>
      </c>
      <c r="B5">
        <f ca="1">IF(F2&lt;10,10,F2)</f>
        <v>10</v>
      </c>
    </row>
    <row r="6" spans="1:13">
      <c r="A6" s="8" t="s">
        <v>295</v>
      </c>
      <c r="F6" s="5" t="s">
        <v>434</v>
      </c>
      <c r="G6" s="5" t="s">
        <v>435</v>
      </c>
      <c r="H6" s="5" t="s">
        <v>436</v>
      </c>
      <c r="I6" s="5" t="s">
        <v>437</v>
      </c>
      <c r="J6" s="5" t="s">
        <v>438</v>
      </c>
      <c r="K6" s="42" t="s">
        <v>439</v>
      </c>
      <c r="M6" s="114"/>
    </row>
    <row r="7" spans="1:13">
      <c r="B7" s="4" t="s">
        <v>170</v>
      </c>
      <c r="C7" s="4" t="s">
        <v>171</v>
      </c>
      <c r="D7" s="4" t="s">
        <v>188</v>
      </c>
      <c r="F7" s="7" t="s">
        <v>194</v>
      </c>
      <c r="G7" s="7"/>
    </row>
    <row r="8" spans="1:13">
      <c r="A8" s="1" t="s">
        <v>9</v>
      </c>
      <c r="B8" s="4">
        <v>1</v>
      </c>
      <c r="C8" s="4">
        <v>0</v>
      </c>
      <c r="D8" s="4">
        <v>0</v>
      </c>
      <c r="F8" s="6">
        <f>'Besluit bodemkwaliteit'!C28</f>
        <v>0</v>
      </c>
      <c r="G8" s="6">
        <f>'Besluit bodemkwaliteit'!D28</f>
        <v>0</v>
      </c>
      <c r="H8" s="6">
        <f ca="1">F8*((B8+(25*C8)+(10*D8)))/((B8+(C8*H$2)+(D8*H$3)))</f>
        <v>0</v>
      </c>
      <c r="I8" s="6">
        <f ca="1">G8*((B8+(25*C8)+(10*D8)))/((B8+(C8*I$2)+(D8*I$3)))</f>
        <v>0</v>
      </c>
      <c r="J8" s="6" t="str">
        <f>IF((F8+G8)&gt;0,SUM(H8:I8)/K8,"")</f>
        <v/>
      </c>
      <c r="K8" s="5">
        <f>IF(F8*G8&gt;0,2,1)</f>
        <v>1</v>
      </c>
    </row>
    <row r="9" spans="1:13">
      <c r="A9" s="1" t="s">
        <v>10</v>
      </c>
      <c r="B9" s="4">
        <v>15</v>
      </c>
      <c r="C9" s="4">
        <v>0.4</v>
      </c>
      <c r="D9" s="4">
        <v>0.4</v>
      </c>
      <c r="F9" s="6">
        <f>'Besluit bodemkwaliteit'!C29</f>
        <v>0</v>
      </c>
      <c r="G9" s="6">
        <f>'Besluit bodemkwaliteit'!D29</f>
        <v>0</v>
      </c>
      <c r="H9" s="6">
        <f t="shared" ref="H9:H21" ca="1" si="0">F9*((B9+(25*C9)+(10*D9)))/((B9+(C9*H$2)+(D9*H$3)))</f>
        <v>0</v>
      </c>
      <c r="I9" s="6">
        <f t="shared" ref="I9:I21" ca="1" si="1">G9*((B9+(25*C9)+(10*D9)))/((B9+(C9*I$2)+(D9*I$3)))</f>
        <v>0</v>
      </c>
      <c r="J9" s="6" t="str">
        <f t="shared" ref="J9:J21" si="2">IF((F9+G9)&gt;0,SUM(H9:I9)/K9,"")</f>
        <v/>
      </c>
      <c r="K9" s="5">
        <f t="shared" ref="K9:K21" si="3">IF(F9*G9&gt;0,2,1)</f>
        <v>1</v>
      </c>
    </row>
    <row r="10" spans="1:13">
      <c r="A10" s="1" t="s">
        <v>11</v>
      </c>
      <c r="B10" s="4">
        <v>30</v>
      </c>
      <c r="C10" s="4">
        <v>5</v>
      </c>
      <c r="D10" s="4">
        <v>0</v>
      </c>
      <c r="F10" s="6">
        <f>'Besluit bodemkwaliteit'!C30</f>
        <v>0</v>
      </c>
      <c r="G10" s="6">
        <f>'Besluit bodemkwaliteit'!D30</f>
        <v>0</v>
      </c>
      <c r="H10" s="6">
        <f ca="1">F10*((B10+(25*C10)+(10*D10)))/((B10+(C10*H$24)+(D10*H$3)))</f>
        <v>0</v>
      </c>
      <c r="I10" s="6">
        <f ca="1">G10*((B10+(25*C10)+(10*D10)))/((B10+(C10*I$24)+(D10*I$3)))</f>
        <v>0</v>
      </c>
      <c r="J10" s="6" t="str">
        <f t="shared" si="2"/>
        <v/>
      </c>
      <c r="K10" s="5">
        <f t="shared" si="3"/>
        <v>1</v>
      </c>
    </row>
    <row r="11" spans="1:13">
      <c r="A11" s="1" t="s">
        <v>12</v>
      </c>
      <c r="B11" s="4">
        <v>0.4</v>
      </c>
      <c r="C11" s="4">
        <v>7.0000000000000001E-3</v>
      </c>
      <c r="D11" s="4">
        <v>2.1000000000000001E-2</v>
      </c>
      <c r="F11" s="6">
        <f>'Besluit bodemkwaliteit'!C31</f>
        <v>0</v>
      </c>
      <c r="G11" s="6">
        <f>'Besluit bodemkwaliteit'!D31</f>
        <v>0</v>
      </c>
      <c r="H11" s="6">
        <f t="shared" ca="1" si="0"/>
        <v>0</v>
      </c>
      <c r="I11" s="6">
        <f t="shared" ca="1" si="1"/>
        <v>0</v>
      </c>
      <c r="J11" s="6" t="str">
        <f t="shared" si="2"/>
        <v/>
      </c>
      <c r="K11" s="5">
        <f t="shared" si="3"/>
        <v>1</v>
      </c>
    </row>
    <row r="12" spans="1:13">
      <c r="A12" s="1" t="s">
        <v>163</v>
      </c>
      <c r="B12" s="4">
        <v>50</v>
      </c>
      <c r="C12" s="4">
        <v>2</v>
      </c>
      <c r="D12" s="4">
        <v>0</v>
      </c>
      <c r="F12" s="6">
        <f>'Besluit bodemkwaliteit'!C32</f>
        <v>0</v>
      </c>
      <c r="G12" s="6">
        <f>'Besluit bodemkwaliteit'!D32</f>
        <v>0</v>
      </c>
      <c r="H12" s="6">
        <f t="shared" ca="1" si="0"/>
        <v>0</v>
      </c>
      <c r="I12" s="6">
        <f t="shared" ca="1" si="1"/>
        <v>0</v>
      </c>
      <c r="J12" s="6" t="str">
        <f t="shared" si="2"/>
        <v/>
      </c>
      <c r="K12" s="5">
        <f t="shared" si="3"/>
        <v>1</v>
      </c>
    </row>
    <row r="13" spans="1:13">
      <c r="A13" s="1" t="s">
        <v>13</v>
      </c>
      <c r="B13" s="4">
        <v>2</v>
      </c>
      <c r="C13" s="4">
        <v>0.28000000000000003</v>
      </c>
      <c r="D13" s="4">
        <v>0</v>
      </c>
      <c r="F13" s="6">
        <f>'Besluit bodemkwaliteit'!C33</f>
        <v>0</v>
      </c>
      <c r="G13" s="6">
        <f>'Besluit bodemkwaliteit'!D33</f>
        <v>0</v>
      </c>
      <c r="H13" s="6">
        <f t="shared" ca="1" si="0"/>
        <v>0</v>
      </c>
      <c r="I13" s="6">
        <f t="shared" ca="1" si="1"/>
        <v>0</v>
      </c>
      <c r="J13" s="6" t="str">
        <f t="shared" si="2"/>
        <v/>
      </c>
      <c r="K13" s="5">
        <f t="shared" si="3"/>
        <v>1</v>
      </c>
    </row>
    <row r="14" spans="1:13">
      <c r="A14" s="1" t="s">
        <v>14</v>
      </c>
      <c r="B14" s="4">
        <v>15</v>
      </c>
      <c r="C14" s="4">
        <v>0.6</v>
      </c>
      <c r="D14" s="4">
        <v>0.6</v>
      </c>
      <c r="F14" s="6">
        <f>'Besluit bodemkwaliteit'!C34</f>
        <v>0</v>
      </c>
      <c r="G14" s="6">
        <f>'Besluit bodemkwaliteit'!D34</f>
        <v>0</v>
      </c>
      <c r="H14" s="6">
        <f t="shared" ca="1" si="0"/>
        <v>0</v>
      </c>
      <c r="I14" s="6">
        <f t="shared" ca="1" si="1"/>
        <v>0</v>
      </c>
      <c r="J14" s="6" t="str">
        <f t="shared" si="2"/>
        <v/>
      </c>
      <c r="K14" s="5">
        <f t="shared" si="3"/>
        <v>1</v>
      </c>
    </row>
    <row r="15" spans="1:13">
      <c r="A15" s="1" t="s">
        <v>15</v>
      </c>
      <c r="B15" s="4">
        <v>0.2</v>
      </c>
      <c r="C15" s="4">
        <v>3.3999999999999998E-3</v>
      </c>
      <c r="D15" s="4">
        <v>1.6999999999999999E-3</v>
      </c>
      <c r="F15" s="6">
        <f>'Besluit bodemkwaliteit'!C35</f>
        <v>0</v>
      </c>
      <c r="G15" s="6">
        <f>'Besluit bodemkwaliteit'!D35</f>
        <v>0</v>
      </c>
      <c r="H15" s="6">
        <f t="shared" ca="1" si="0"/>
        <v>0</v>
      </c>
      <c r="I15" s="6">
        <f t="shared" ca="1" si="1"/>
        <v>0</v>
      </c>
      <c r="J15" s="6" t="str">
        <f t="shared" si="2"/>
        <v/>
      </c>
      <c r="K15" s="5">
        <f t="shared" si="3"/>
        <v>1</v>
      </c>
    </row>
    <row r="16" spans="1:13">
      <c r="A16" s="1" t="s">
        <v>16</v>
      </c>
      <c r="B16" s="4">
        <v>50</v>
      </c>
      <c r="C16" s="4">
        <v>1</v>
      </c>
      <c r="D16" s="4">
        <v>1</v>
      </c>
      <c r="F16" s="6">
        <f>'Besluit bodemkwaliteit'!C36</f>
        <v>0</v>
      </c>
      <c r="G16" s="6">
        <f>'Besluit bodemkwaliteit'!D36</f>
        <v>0</v>
      </c>
      <c r="H16" s="6">
        <f t="shared" ca="1" si="0"/>
        <v>0</v>
      </c>
      <c r="I16" s="6">
        <f t="shared" ca="1" si="1"/>
        <v>0</v>
      </c>
      <c r="J16" s="6" t="str">
        <f t="shared" si="2"/>
        <v/>
      </c>
      <c r="K16" s="5">
        <f t="shared" si="3"/>
        <v>1</v>
      </c>
    </row>
    <row r="17" spans="1:11">
      <c r="A17" s="1" t="s">
        <v>17</v>
      </c>
      <c r="B17" s="4">
        <v>1</v>
      </c>
      <c r="C17" s="4">
        <v>0</v>
      </c>
      <c r="D17" s="4">
        <v>0</v>
      </c>
      <c r="F17" s="6">
        <f>'Besluit bodemkwaliteit'!C37</f>
        <v>0</v>
      </c>
      <c r="G17" s="6">
        <f>'Besluit bodemkwaliteit'!D37</f>
        <v>0</v>
      </c>
      <c r="H17" s="6">
        <f t="shared" ca="1" si="0"/>
        <v>0</v>
      </c>
      <c r="I17" s="6">
        <f t="shared" ca="1" si="1"/>
        <v>0</v>
      </c>
      <c r="J17" s="6" t="str">
        <f t="shared" si="2"/>
        <v/>
      </c>
      <c r="K17" s="5">
        <f t="shared" si="3"/>
        <v>1</v>
      </c>
    </row>
    <row r="18" spans="1:11">
      <c r="A18" s="1" t="s">
        <v>18</v>
      </c>
      <c r="B18" s="4">
        <v>10</v>
      </c>
      <c r="C18" s="4">
        <v>1</v>
      </c>
      <c r="D18" s="4">
        <v>0</v>
      </c>
      <c r="F18" s="6">
        <f>'Besluit bodemkwaliteit'!C38</f>
        <v>0</v>
      </c>
      <c r="G18" s="6">
        <f>'Besluit bodemkwaliteit'!D38</f>
        <v>0</v>
      </c>
      <c r="H18" s="6">
        <f t="shared" ca="1" si="0"/>
        <v>0</v>
      </c>
      <c r="I18" s="6">
        <f t="shared" ca="1" si="1"/>
        <v>0</v>
      </c>
      <c r="J18" s="6" t="str">
        <f t="shared" si="2"/>
        <v/>
      </c>
      <c r="K18" s="5">
        <f t="shared" si="3"/>
        <v>1</v>
      </c>
    </row>
    <row r="19" spans="1:11">
      <c r="A19" s="1" t="s">
        <v>19</v>
      </c>
      <c r="B19" s="4">
        <v>4</v>
      </c>
      <c r="C19" s="4">
        <v>0.6</v>
      </c>
      <c r="D19" s="4">
        <v>0</v>
      </c>
      <c r="F19" s="6">
        <f>'Besluit bodemkwaliteit'!C39</f>
        <v>0</v>
      </c>
      <c r="G19" s="6">
        <f>'Besluit bodemkwaliteit'!D39</f>
        <v>0</v>
      </c>
      <c r="H19" s="6">
        <f t="shared" ca="1" si="0"/>
        <v>0</v>
      </c>
      <c r="I19" s="6">
        <f t="shared" ca="1" si="1"/>
        <v>0</v>
      </c>
      <c r="J19" s="6" t="str">
        <f t="shared" si="2"/>
        <v/>
      </c>
      <c r="K19" s="5">
        <f t="shared" si="3"/>
        <v>1</v>
      </c>
    </row>
    <row r="20" spans="1:11">
      <c r="A20" s="1" t="s">
        <v>20</v>
      </c>
      <c r="B20" s="4">
        <v>12</v>
      </c>
      <c r="C20" s="4">
        <v>1.2</v>
      </c>
      <c r="D20" s="4">
        <v>0</v>
      </c>
      <c r="F20" s="6">
        <f>'Besluit bodemkwaliteit'!C40</f>
        <v>0</v>
      </c>
      <c r="G20" s="6">
        <f>'Besluit bodemkwaliteit'!D40</f>
        <v>0</v>
      </c>
      <c r="H20" s="6">
        <f t="shared" ca="1" si="0"/>
        <v>0</v>
      </c>
      <c r="I20" s="6">
        <f t="shared" ca="1" si="1"/>
        <v>0</v>
      </c>
      <c r="J20" s="6" t="str">
        <f t="shared" si="2"/>
        <v/>
      </c>
      <c r="K20" s="5">
        <f t="shared" si="3"/>
        <v>1</v>
      </c>
    </row>
    <row r="21" spans="1:11">
      <c r="A21" s="1" t="s">
        <v>21</v>
      </c>
      <c r="B21" s="4">
        <v>50</v>
      </c>
      <c r="C21" s="4">
        <v>3</v>
      </c>
      <c r="D21" s="4">
        <v>1.5</v>
      </c>
      <c r="F21" s="6">
        <f>'Besluit bodemkwaliteit'!C41</f>
        <v>0</v>
      </c>
      <c r="G21" s="6">
        <f>'Besluit bodemkwaliteit'!D41</f>
        <v>0</v>
      </c>
      <c r="H21" s="6">
        <f t="shared" ca="1" si="0"/>
        <v>0</v>
      </c>
      <c r="I21" s="6">
        <f t="shared" ca="1" si="1"/>
        <v>0</v>
      </c>
      <c r="J21" s="6" t="str">
        <f t="shared" si="2"/>
        <v/>
      </c>
      <c r="K21" s="5">
        <f t="shared" si="3"/>
        <v>1</v>
      </c>
    </row>
    <row r="23" spans="1:11">
      <c r="A23" s="2" t="s">
        <v>189</v>
      </c>
      <c r="B23" s="4">
        <v>8</v>
      </c>
      <c r="C23" s="4">
        <v>0.9</v>
      </c>
      <c r="D23" s="4">
        <v>0</v>
      </c>
    </row>
    <row r="24" spans="1:11">
      <c r="A24" s="2" t="s">
        <v>190</v>
      </c>
      <c r="B24" s="4">
        <v>1</v>
      </c>
      <c r="C24" s="4">
        <v>0</v>
      </c>
      <c r="D24" s="4">
        <v>0</v>
      </c>
      <c r="F24" s="8" t="s">
        <v>284</v>
      </c>
      <c r="G24" s="8"/>
      <c r="H24" s="5">
        <f ca="1">IF('analyse import'!R5=1,IF(F2&lt;10,10,H2),H2)</f>
        <v>2</v>
      </c>
      <c r="I24" s="5">
        <f ca="1">IF('analyse import'!S5=1,IF(G2&lt;10,10,I2),I2)</f>
        <v>2</v>
      </c>
    </row>
    <row r="25" spans="1:11">
      <c r="A25" s="2" t="s">
        <v>191</v>
      </c>
      <c r="B25" s="4">
        <v>0</v>
      </c>
      <c r="C25" s="4">
        <v>0</v>
      </c>
      <c r="D25" s="4">
        <v>1</v>
      </c>
    </row>
  </sheetData>
  <sheetProtection selectLockedCells="1" selectUnlockedCells="1"/>
  <mergeCells count="1">
    <mergeCell ref="J1:K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G84"/>
  <sheetViews>
    <sheetView topLeftCell="A46" workbookViewId="0">
      <selection activeCell="B79" sqref="B79"/>
    </sheetView>
  </sheetViews>
  <sheetFormatPr defaultRowHeight="11.25"/>
  <cols>
    <col min="1" max="1" width="23.7109375" style="386" customWidth="1"/>
    <col min="2" max="18" width="5.7109375" style="387" customWidth="1"/>
    <col min="19" max="19" width="12.28515625" style="387" customWidth="1"/>
    <col min="20" max="20" width="11.42578125" style="387" customWidth="1"/>
    <col min="21" max="27" width="7.7109375" style="386" customWidth="1"/>
    <col min="28" max="39" width="5.7109375" style="386" customWidth="1"/>
    <col min="40" max="16384" width="9.140625" style="386"/>
  </cols>
  <sheetData>
    <row r="1" spans="1:33" ht="12.75">
      <c r="A1" s="406" t="s">
        <v>638</v>
      </c>
    </row>
    <row r="2" spans="1:33">
      <c r="A2" s="386" t="s">
        <v>253</v>
      </c>
      <c r="S2" s="405">
        <f>start!D6</f>
        <v>0</v>
      </c>
    </row>
    <row r="3" spans="1:33">
      <c r="A3" s="386" t="s">
        <v>640</v>
      </c>
      <c r="S3" s="405">
        <f>start!D7</f>
        <v>0</v>
      </c>
    </row>
    <row r="4" spans="1:33">
      <c r="A4" s="386" t="s">
        <v>639</v>
      </c>
      <c r="S4" s="405">
        <f>start!D8</f>
        <v>0</v>
      </c>
    </row>
    <row r="5" spans="1:33" ht="32.25">
      <c r="A5" s="386" t="s">
        <v>641</v>
      </c>
      <c r="G5" s="409" t="s">
        <v>646</v>
      </c>
      <c r="S5" s="405">
        <f>start!D9</f>
        <v>0</v>
      </c>
    </row>
    <row r="11" spans="1:33" ht="13.5" customHeight="1">
      <c r="A11" s="407" t="str">
        <f>start!F2</f>
        <v>Back2B6 versie 14 juni 2017</v>
      </c>
    </row>
    <row r="12" spans="1:33" ht="90.75" customHeight="1">
      <c r="A12" s="388"/>
      <c r="B12" s="389" t="s">
        <v>365</v>
      </c>
      <c r="C12" s="389" t="s">
        <v>366</v>
      </c>
      <c r="D12" s="389" t="s">
        <v>368</v>
      </c>
      <c r="E12" s="389" t="s">
        <v>369</v>
      </c>
      <c r="F12" s="389" t="s">
        <v>370</v>
      </c>
      <c r="G12" s="389" t="s">
        <v>372</v>
      </c>
      <c r="H12" s="389" t="s">
        <v>373</v>
      </c>
      <c r="I12" s="389" t="s">
        <v>374</v>
      </c>
      <c r="J12" s="389" t="s">
        <v>375</v>
      </c>
      <c r="K12" s="389" t="s">
        <v>376</v>
      </c>
      <c r="L12" s="389" t="s">
        <v>377</v>
      </c>
      <c r="M12" s="389" t="s">
        <v>378</v>
      </c>
      <c r="N12" s="389" t="s">
        <v>379</v>
      </c>
      <c r="O12" s="389" t="s">
        <v>380</v>
      </c>
      <c r="P12" s="389" t="s">
        <v>381</v>
      </c>
      <c r="Q12" s="389" t="s">
        <v>382</v>
      </c>
      <c r="R12" s="390" t="s">
        <v>383</v>
      </c>
      <c r="S12" s="391" t="s">
        <v>630</v>
      </c>
      <c r="T12" s="391" t="s">
        <v>634</v>
      </c>
      <c r="U12" s="408" t="s">
        <v>645</v>
      </c>
      <c r="V12" s="408"/>
      <c r="W12" s="408"/>
      <c r="X12" s="408"/>
      <c r="Y12" s="408"/>
      <c r="Z12" s="408"/>
      <c r="AA12" s="408"/>
      <c r="AB12" s="392"/>
      <c r="AC12" s="392"/>
      <c r="AD12" s="392"/>
      <c r="AE12" s="392"/>
      <c r="AF12" s="392"/>
      <c r="AG12" s="392"/>
    </row>
    <row r="13" spans="1:33">
      <c r="A13" s="386" t="s">
        <v>251</v>
      </c>
      <c r="B13" s="387">
        <v>0</v>
      </c>
      <c r="C13" s="387">
        <v>520</v>
      </c>
      <c r="D13" s="387">
        <v>0</v>
      </c>
      <c r="E13" s="387">
        <v>0</v>
      </c>
      <c r="F13" s="387">
        <v>4900</v>
      </c>
      <c r="G13" s="387">
        <v>1E-3</v>
      </c>
      <c r="H13" s="387">
        <v>0</v>
      </c>
      <c r="I13" s="387">
        <v>10</v>
      </c>
      <c r="J13" s="387">
        <v>10000</v>
      </c>
      <c r="K13" s="387">
        <v>0</v>
      </c>
      <c r="L13" s="387">
        <v>190</v>
      </c>
      <c r="M13" s="387">
        <v>200</v>
      </c>
      <c r="N13" s="387">
        <v>300</v>
      </c>
      <c r="O13" s="387">
        <v>1</v>
      </c>
      <c r="P13" s="387">
        <v>88</v>
      </c>
      <c r="Q13" s="387">
        <v>300</v>
      </c>
      <c r="R13" s="393">
        <v>5</v>
      </c>
      <c r="S13" s="394" t="str">
        <f>'Besluit bodemkwaliteit'!G37</f>
        <v/>
      </c>
      <c r="T13" s="395">
        <f>'analyse import'!L30</f>
        <v>0</v>
      </c>
    </row>
    <row r="14" spans="1:33">
      <c r="A14" s="386" t="s">
        <v>351</v>
      </c>
      <c r="B14" s="387">
        <v>0</v>
      </c>
      <c r="C14" s="387">
        <v>35000</v>
      </c>
      <c r="D14" s="387">
        <v>0</v>
      </c>
      <c r="E14" s="387">
        <v>0</v>
      </c>
      <c r="F14" s="387">
        <v>1635</v>
      </c>
      <c r="G14" s="387">
        <v>1.3</v>
      </c>
      <c r="H14" s="387">
        <v>0</v>
      </c>
      <c r="I14" s="387">
        <v>0.5</v>
      </c>
      <c r="J14" s="387">
        <v>1550</v>
      </c>
      <c r="K14" s="387">
        <v>0</v>
      </c>
      <c r="L14" s="387">
        <v>22</v>
      </c>
      <c r="M14" s="387">
        <v>15</v>
      </c>
      <c r="N14" s="387">
        <v>20</v>
      </c>
      <c r="O14" s="387">
        <v>1.4E-3</v>
      </c>
      <c r="P14" s="387">
        <v>15</v>
      </c>
      <c r="Q14" s="387">
        <v>0</v>
      </c>
      <c r="R14" s="393">
        <v>0</v>
      </c>
      <c r="S14" s="394" t="str">
        <f>'Besluit bodemkwaliteit'!G28</f>
        <v/>
      </c>
      <c r="T14" s="396">
        <f>'analyse import'!L21</f>
        <v>0</v>
      </c>
    </row>
    <row r="15" spans="1:33">
      <c r="A15" s="386" t="s">
        <v>199</v>
      </c>
      <c r="B15" s="387">
        <v>0</v>
      </c>
      <c r="C15" s="387">
        <v>763</v>
      </c>
      <c r="D15" s="387">
        <v>0</v>
      </c>
      <c r="E15" s="387">
        <v>0</v>
      </c>
      <c r="F15" s="387">
        <v>613</v>
      </c>
      <c r="G15" s="387">
        <v>1E-3</v>
      </c>
      <c r="H15" s="387">
        <v>0</v>
      </c>
      <c r="I15" s="387">
        <v>0.05</v>
      </c>
      <c r="J15" s="387">
        <v>613</v>
      </c>
      <c r="K15" s="387">
        <v>0</v>
      </c>
      <c r="L15" s="387">
        <v>76</v>
      </c>
      <c r="M15" s="387">
        <v>85</v>
      </c>
      <c r="N15" s="387">
        <v>60</v>
      </c>
      <c r="O15" s="387">
        <v>0</v>
      </c>
      <c r="P15" s="387">
        <v>27</v>
      </c>
      <c r="Q15" s="387">
        <v>60</v>
      </c>
      <c r="R15" s="393">
        <v>29</v>
      </c>
      <c r="S15" s="394" t="str">
        <f>'Besluit bodemkwaliteit'!G29</f>
        <v/>
      </c>
      <c r="T15" s="396">
        <f>'analyse import'!L22</f>
        <v>0</v>
      </c>
    </row>
    <row r="16" spans="1:33">
      <c r="A16" s="386" t="s">
        <v>200</v>
      </c>
      <c r="B16" s="387">
        <v>1</v>
      </c>
      <c r="C16" s="387">
        <v>2330</v>
      </c>
      <c r="D16" s="387">
        <v>70</v>
      </c>
      <c r="E16" s="387">
        <v>0</v>
      </c>
      <c r="F16" s="387">
        <v>765</v>
      </c>
      <c r="G16" s="387">
        <v>1E-3</v>
      </c>
      <c r="H16" s="387">
        <v>0</v>
      </c>
      <c r="I16" s="387">
        <v>5.0000000000000001E-3</v>
      </c>
      <c r="J16" s="387">
        <v>2500</v>
      </c>
      <c r="K16" s="387">
        <v>0</v>
      </c>
      <c r="L16" s="387">
        <v>13</v>
      </c>
      <c r="M16" s="387">
        <v>14</v>
      </c>
      <c r="N16" s="387">
        <v>14</v>
      </c>
      <c r="O16" s="387">
        <v>0</v>
      </c>
      <c r="P16" s="387">
        <v>1.2</v>
      </c>
      <c r="Q16" s="387">
        <v>14</v>
      </c>
      <c r="R16" s="393">
        <v>4</v>
      </c>
      <c r="S16" s="397" t="str">
        <f>'Besluit bodemkwaliteit'!G31</f>
        <v/>
      </c>
      <c r="T16" s="396">
        <f>'analyse import'!L24</f>
        <v>0</v>
      </c>
    </row>
    <row r="17" spans="1:20">
      <c r="A17" s="386" t="s">
        <v>201</v>
      </c>
      <c r="B17" s="387">
        <v>0</v>
      </c>
      <c r="C17" s="387">
        <v>0</v>
      </c>
      <c r="D17" s="387">
        <v>0</v>
      </c>
      <c r="E17" s="387">
        <v>250</v>
      </c>
      <c r="F17" s="387">
        <v>3672</v>
      </c>
      <c r="G17" s="387">
        <v>1E-3</v>
      </c>
      <c r="H17" s="387">
        <v>0</v>
      </c>
      <c r="I17" s="387">
        <v>0.5</v>
      </c>
      <c r="J17" s="387">
        <v>10000</v>
      </c>
      <c r="K17" s="387">
        <v>0</v>
      </c>
      <c r="L17" s="387">
        <v>78</v>
      </c>
      <c r="M17" s="387">
        <v>380</v>
      </c>
      <c r="N17" s="387">
        <v>30</v>
      </c>
      <c r="O17" s="387">
        <v>0</v>
      </c>
      <c r="P17" s="387">
        <v>62</v>
      </c>
      <c r="Q17" s="387">
        <v>30</v>
      </c>
      <c r="R17" s="393">
        <v>120</v>
      </c>
      <c r="S17" s="398" t="str">
        <f>'Besluit bodemkwaliteit'!G32</f>
        <v/>
      </c>
      <c r="T17" s="396">
        <f>'analyse import'!L25</f>
        <v>0</v>
      </c>
    </row>
    <row r="18" spans="1:20">
      <c r="A18" s="386" t="s">
        <v>352</v>
      </c>
      <c r="B18" s="387">
        <v>0</v>
      </c>
      <c r="C18" s="387">
        <v>4000</v>
      </c>
      <c r="D18" s="387">
        <v>0</v>
      </c>
      <c r="E18" s="387">
        <v>0</v>
      </c>
      <c r="F18" s="387">
        <v>4000</v>
      </c>
      <c r="G18" s="387">
        <v>1E-3</v>
      </c>
      <c r="H18" s="387">
        <v>0</v>
      </c>
      <c r="I18" s="387">
        <v>0.5</v>
      </c>
      <c r="J18" s="387">
        <v>10000</v>
      </c>
      <c r="K18" s="387">
        <v>0</v>
      </c>
      <c r="L18" s="387">
        <v>180</v>
      </c>
      <c r="M18" s="387">
        <v>380</v>
      </c>
      <c r="N18" s="387">
        <v>30</v>
      </c>
      <c r="O18" s="387">
        <v>0</v>
      </c>
      <c r="P18" s="387">
        <v>0</v>
      </c>
      <c r="Q18" s="387">
        <v>30</v>
      </c>
      <c r="R18" s="393">
        <v>0</v>
      </c>
      <c r="S18" s="398" t="str">
        <f>'Besluit bodemkwaliteit'!G32</f>
        <v/>
      </c>
      <c r="T18" s="396">
        <f>T17</f>
        <v>0</v>
      </c>
    </row>
    <row r="19" spans="1:20">
      <c r="A19" s="386" t="s">
        <v>371</v>
      </c>
      <c r="B19" s="387">
        <v>1</v>
      </c>
      <c r="C19" s="387">
        <v>80</v>
      </c>
      <c r="D19" s="387">
        <v>0</v>
      </c>
      <c r="E19" s="387">
        <v>0</v>
      </c>
      <c r="F19" s="387">
        <v>198</v>
      </c>
      <c r="G19" s="387">
        <v>1E-3</v>
      </c>
      <c r="H19" s="387">
        <v>0</v>
      </c>
      <c r="I19" s="387">
        <v>2.5000000000000001E-2</v>
      </c>
      <c r="J19" s="387">
        <v>10000</v>
      </c>
      <c r="K19" s="387">
        <v>0</v>
      </c>
      <c r="L19" s="387">
        <v>78</v>
      </c>
      <c r="M19" s="387">
        <v>380</v>
      </c>
      <c r="N19" s="387">
        <v>30</v>
      </c>
      <c r="O19" s="387">
        <v>0</v>
      </c>
      <c r="P19" s="387">
        <v>0</v>
      </c>
      <c r="Q19" s="387">
        <v>30</v>
      </c>
      <c r="R19" s="393">
        <v>0</v>
      </c>
      <c r="S19" s="394"/>
      <c r="T19" s="396"/>
    </row>
    <row r="20" spans="1:20">
      <c r="A20" s="386" t="s">
        <v>332</v>
      </c>
      <c r="B20" s="387">
        <v>0</v>
      </c>
      <c r="C20" s="387">
        <v>6171</v>
      </c>
      <c r="D20" s="387">
        <v>0</v>
      </c>
      <c r="E20" s="387">
        <v>0</v>
      </c>
      <c r="F20" s="387">
        <v>2870</v>
      </c>
      <c r="G20" s="387">
        <v>1E-3</v>
      </c>
      <c r="H20" s="387">
        <v>0</v>
      </c>
      <c r="I20" s="387">
        <v>0.02</v>
      </c>
      <c r="J20" s="387">
        <v>10000</v>
      </c>
      <c r="K20" s="387">
        <v>0</v>
      </c>
      <c r="L20" s="387">
        <v>190</v>
      </c>
      <c r="M20" s="387">
        <v>240</v>
      </c>
      <c r="N20" s="387">
        <v>100</v>
      </c>
      <c r="O20" s="387">
        <v>0</v>
      </c>
      <c r="P20" s="387">
        <v>35</v>
      </c>
      <c r="Q20" s="387">
        <v>100</v>
      </c>
      <c r="R20" s="393">
        <v>25</v>
      </c>
      <c r="S20" s="394" t="str">
        <f>'Besluit bodemkwaliteit'!G33</f>
        <v/>
      </c>
      <c r="T20" s="396">
        <f>'analyse import'!L26</f>
        <v>0</v>
      </c>
    </row>
    <row r="21" spans="1:20">
      <c r="A21" s="386" t="s">
        <v>202</v>
      </c>
      <c r="B21" s="387">
        <v>0</v>
      </c>
      <c r="C21" s="387">
        <v>470</v>
      </c>
      <c r="D21" s="387">
        <v>0</v>
      </c>
      <c r="E21" s="387">
        <v>0</v>
      </c>
      <c r="F21" s="387">
        <v>2567</v>
      </c>
      <c r="G21" s="387">
        <v>1E-3</v>
      </c>
      <c r="H21" s="387">
        <v>0</v>
      </c>
      <c r="I21" s="387">
        <v>0.1</v>
      </c>
      <c r="J21" s="387">
        <v>1700</v>
      </c>
      <c r="K21" s="387">
        <v>0</v>
      </c>
      <c r="L21" s="387">
        <v>190</v>
      </c>
      <c r="M21" s="387">
        <v>190</v>
      </c>
      <c r="N21" s="387">
        <v>75</v>
      </c>
      <c r="O21" s="387">
        <v>0</v>
      </c>
      <c r="P21" s="387">
        <v>54</v>
      </c>
      <c r="Q21" s="387">
        <v>75</v>
      </c>
      <c r="R21" s="393">
        <v>96</v>
      </c>
      <c r="S21" s="398" t="str">
        <f>'Besluit bodemkwaliteit'!G34</f>
        <v/>
      </c>
      <c r="T21" s="396">
        <f>'analyse import'!L27</f>
        <v>0</v>
      </c>
    </row>
    <row r="22" spans="1:20">
      <c r="A22" s="386" t="s">
        <v>203</v>
      </c>
      <c r="B22" s="387">
        <v>0</v>
      </c>
      <c r="C22" s="387">
        <v>20</v>
      </c>
      <c r="D22" s="387">
        <v>0</v>
      </c>
      <c r="E22" s="387">
        <v>0</v>
      </c>
      <c r="F22" s="387">
        <v>357</v>
      </c>
      <c r="G22" s="387">
        <v>2E-3</v>
      </c>
      <c r="H22" s="387">
        <v>0</v>
      </c>
      <c r="I22" s="387">
        <v>0.02</v>
      </c>
      <c r="J22" s="387">
        <v>1000</v>
      </c>
      <c r="K22" s="387">
        <v>0</v>
      </c>
      <c r="L22" s="387">
        <v>36</v>
      </c>
      <c r="M22" s="387">
        <v>10</v>
      </c>
      <c r="N22" s="387">
        <v>0.3</v>
      </c>
      <c r="O22" s="387">
        <v>0</v>
      </c>
      <c r="P22" s="387">
        <v>0.93</v>
      </c>
      <c r="Q22" s="387">
        <v>0.3</v>
      </c>
      <c r="R22" s="393">
        <v>1.2</v>
      </c>
      <c r="S22" s="397" t="str">
        <f>'Besluit bodemkwaliteit'!G35</f>
        <v/>
      </c>
      <c r="T22" s="396">
        <f>'analyse import'!L28</f>
        <v>0</v>
      </c>
    </row>
    <row r="23" spans="1:20">
      <c r="A23" s="386" t="s">
        <v>205</v>
      </c>
      <c r="B23" s="387">
        <v>1</v>
      </c>
      <c r="C23" s="387">
        <v>3310</v>
      </c>
      <c r="D23" s="387">
        <v>1016</v>
      </c>
      <c r="E23" s="387">
        <v>0</v>
      </c>
      <c r="F23" s="387">
        <v>1740</v>
      </c>
      <c r="G23" s="387">
        <v>1E-3</v>
      </c>
      <c r="H23" s="387">
        <v>0</v>
      </c>
      <c r="I23" s="387">
        <v>0.15</v>
      </c>
      <c r="J23" s="387">
        <v>10000</v>
      </c>
      <c r="K23" s="387">
        <v>0</v>
      </c>
      <c r="L23" s="387">
        <v>530</v>
      </c>
      <c r="M23" s="387">
        <v>580</v>
      </c>
      <c r="N23" s="387">
        <v>75</v>
      </c>
      <c r="O23" s="387">
        <v>0</v>
      </c>
      <c r="P23" s="387">
        <v>210</v>
      </c>
      <c r="Q23" s="387">
        <v>75</v>
      </c>
      <c r="R23" s="393">
        <v>138</v>
      </c>
      <c r="S23" s="398" t="str">
        <f>'Besluit bodemkwaliteit'!G36</f>
        <v/>
      </c>
      <c r="T23" s="396">
        <f>'analyse import'!L29</f>
        <v>0</v>
      </c>
    </row>
    <row r="24" spans="1:20">
      <c r="A24" s="386" t="s">
        <v>204</v>
      </c>
      <c r="B24" s="387">
        <v>0</v>
      </c>
      <c r="C24" s="387">
        <v>9000</v>
      </c>
      <c r="D24" s="387">
        <v>0</v>
      </c>
      <c r="E24" s="387">
        <v>0</v>
      </c>
      <c r="F24" s="387">
        <v>2730</v>
      </c>
      <c r="G24" s="387">
        <v>1E-3</v>
      </c>
      <c r="H24" s="387">
        <v>0</v>
      </c>
      <c r="I24" s="387">
        <v>0.1</v>
      </c>
      <c r="J24" s="387">
        <v>10000</v>
      </c>
      <c r="K24" s="387">
        <v>0</v>
      </c>
      <c r="L24" s="387">
        <v>100</v>
      </c>
      <c r="M24" s="387">
        <v>210</v>
      </c>
      <c r="N24" s="387">
        <v>75</v>
      </c>
      <c r="O24" s="387">
        <v>0</v>
      </c>
      <c r="P24" s="387">
        <v>39</v>
      </c>
      <c r="Q24" s="387">
        <v>75</v>
      </c>
      <c r="R24" s="393">
        <v>50</v>
      </c>
      <c r="S24" s="398" t="str">
        <f>'Besluit bodemkwaliteit'!G38</f>
        <v/>
      </c>
      <c r="T24" s="396">
        <f>'analyse import'!L31</f>
        <v>0</v>
      </c>
    </row>
    <row r="25" spans="1:20">
      <c r="A25" s="386" t="s">
        <v>206</v>
      </c>
      <c r="B25" s="387">
        <v>0</v>
      </c>
      <c r="C25" s="387">
        <v>15000</v>
      </c>
      <c r="D25" s="387">
        <v>0</v>
      </c>
      <c r="E25" s="387">
        <v>25</v>
      </c>
      <c r="F25" s="387">
        <v>907</v>
      </c>
      <c r="G25" s="387">
        <v>0.01</v>
      </c>
      <c r="H25" s="387">
        <v>0</v>
      </c>
      <c r="I25" s="387">
        <v>0.01</v>
      </c>
      <c r="J25" s="387">
        <v>10000</v>
      </c>
      <c r="K25" s="387">
        <v>0</v>
      </c>
      <c r="L25" s="387">
        <v>720</v>
      </c>
      <c r="M25" s="387">
        <v>2000</v>
      </c>
      <c r="N25" s="387">
        <v>800</v>
      </c>
      <c r="O25" s="387">
        <v>1</v>
      </c>
      <c r="P25" s="387">
        <v>200</v>
      </c>
      <c r="Q25" s="387">
        <v>800</v>
      </c>
      <c r="R25" s="393">
        <v>563</v>
      </c>
      <c r="S25" s="398" t="str">
        <f>'Besluit bodemkwaliteit'!G41</f>
        <v/>
      </c>
      <c r="T25" s="396">
        <f>'analyse import'!L34</f>
        <v>0</v>
      </c>
    </row>
    <row r="26" spans="1:20">
      <c r="A26" s="386" t="s">
        <v>353</v>
      </c>
      <c r="B26" s="387">
        <v>0</v>
      </c>
      <c r="C26" s="387">
        <v>50</v>
      </c>
      <c r="D26" s="387">
        <v>0</v>
      </c>
      <c r="E26" s="387">
        <v>0</v>
      </c>
      <c r="F26" s="387">
        <v>26</v>
      </c>
      <c r="G26" s="387">
        <v>830</v>
      </c>
      <c r="H26" s="387">
        <v>1</v>
      </c>
      <c r="I26" s="387">
        <v>1</v>
      </c>
      <c r="J26" s="387">
        <v>-18</v>
      </c>
      <c r="K26" s="387">
        <v>54000</v>
      </c>
      <c r="L26" s="387">
        <v>20</v>
      </c>
      <c r="M26" s="387">
        <v>20</v>
      </c>
      <c r="N26" s="387">
        <v>1500</v>
      </c>
      <c r="O26" s="387">
        <v>100</v>
      </c>
      <c r="P26" s="387">
        <v>3</v>
      </c>
      <c r="Q26" s="387">
        <v>1500</v>
      </c>
      <c r="R26" s="393">
        <v>0</v>
      </c>
      <c r="S26" s="394" t="str">
        <f>'Besluit bodemkwaliteit'!G61</f>
        <v/>
      </c>
      <c r="T26" s="396">
        <f>'analyse import'!L62</f>
        <v>0</v>
      </c>
    </row>
    <row r="27" spans="1:20">
      <c r="A27" s="386" t="s">
        <v>30</v>
      </c>
      <c r="B27" s="387">
        <v>1</v>
      </c>
      <c r="C27" s="387">
        <v>3800</v>
      </c>
      <c r="D27" s="387">
        <v>0</v>
      </c>
      <c r="E27" s="387">
        <v>0</v>
      </c>
      <c r="F27" s="387">
        <v>80</v>
      </c>
      <c r="G27" s="387">
        <v>100</v>
      </c>
      <c r="H27" s="387">
        <v>1</v>
      </c>
      <c r="I27" s="387">
        <v>3.25</v>
      </c>
      <c r="J27" s="387">
        <v>-11</v>
      </c>
      <c r="K27" s="387">
        <v>12000</v>
      </c>
      <c r="L27" s="387">
        <v>1.1000000000000001</v>
      </c>
      <c r="M27" s="387">
        <v>1</v>
      </c>
      <c r="N27" s="387">
        <v>30</v>
      </c>
      <c r="O27" s="387">
        <v>0.18</v>
      </c>
      <c r="P27" s="387">
        <v>0.2</v>
      </c>
      <c r="Q27" s="387">
        <v>30</v>
      </c>
      <c r="R27" s="393">
        <v>0</v>
      </c>
      <c r="S27" s="397" t="str">
        <f>'Besluit bodemkwaliteit'!G68</f>
        <v/>
      </c>
      <c r="T27" s="396">
        <f>'analyse import'!L69</f>
        <v>0</v>
      </c>
    </row>
    <row r="28" spans="1:20">
      <c r="A28" s="386" t="s">
        <v>31</v>
      </c>
      <c r="B28" s="387">
        <v>0</v>
      </c>
      <c r="C28" s="387">
        <v>3500</v>
      </c>
      <c r="D28" s="387">
        <v>0</v>
      </c>
      <c r="E28" s="387">
        <v>0</v>
      </c>
      <c r="F28" s="387">
        <v>136</v>
      </c>
      <c r="G28" s="387">
        <v>9.3000000000000007</v>
      </c>
      <c r="H28" s="387">
        <v>48</v>
      </c>
      <c r="I28" s="387">
        <v>215</v>
      </c>
      <c r="J28" s="387">
        <v>15</v>
      </c>
      <c r="K28" s="387">
        <v>10000</v>
      </c>
      <c r="L28" s="387">
        <v>110</v>
      </c>
      <c r="M28" s="387">
        <v>50</v>
      </c>
      <c r="N28" s="387">
        <v>150</v>
      </c>
      <c r="O28" s="387">
        <v>0.1</v>
      </c>
      <c r="P28" s="387">
        <v>0.2</v>
      </c>
      <c r="Q28" s="387">
        <v>150</v>
      </c>
      <c r="R28" s="393">
        <v>0</v>
      </c>
      <c r="S28" s="397" t="str">
        <f>'Besluit bodemkwaliteit'!G69</f>
        <v/>
      </c>
      <c r="T28" s="396">
        <f>'analyse import'!L70</f>
        <v>0</v>
      </c>
    </row>
    <row r="29" spans="1:20">
      <c r="A29" s="386" t="s">
        <v>32</v>
      </c>
      <c r="B29" s="387">
        <v>0</v>
      </c>
      <c r="C29" s="387">
        <v>636</v>
      </c>
      <c r="D29" s="387">
        <v>0</v>
      </c>
      <c r="E29" s="387">
        <v>0</v>
      </c>
      <c r="F29" s="387">
        <v>111</v>
      </c>
      <c r="G29" s="387">
        <v>28</v>
      </c>
      <c r="H29" s="387">
        <v>39</v>
      </c>
      <c r="I29" s="387">
        <v>150</v>
      </c>
      <c r="J29" s="387">
        <v>4</v>
      </c>
      <c r="K29" s="387">
        <v>12000</v>
      </c>
      <c r="L29" s="387">
        <v>32</v>
      </c>
      <c r="M29" s="387">
        <v>130</v>
      </c>
      <c r="N29" s="387">
        <v>1000</v>
      </c>
      <c r="O29" s="387">
        <v>1E-3</v>
      </c>
      <c r="P29" s="387">
        <v>0.2</v>
      </c>
      <c r="Q29" s="387">
        <v>1000</v>
      </c>
      <c r="R29" s="393">
        <v>0</v>
      </c>
      <c r="S29" s="397" t="str">
        <f>'Besluit bodemkwaliteit'!G70</f>
        <v/>
      </c>
      <c r="T29" s="396">
        <f>'analyse import'!L71</f>
        <v>0</v>
      </c>
    </row>
    <row r="30" spans="1:20">
      <c r="A30" s="386" t="s">
        <v>354</v>
      </c>
      <c r="B30" s="387">
        <v>0</v>
      </c>
      <c r="C30" s="387">
        <v>4300</v>
      </c>
      <c r="D30" s="387">
        <v>0</v>
      </c>
      <c r="E30" s="387">
        <v>0</v>
      </c>
      <c r="F30" s="387">
        <v>135</v>
      </c>
      <c r="G30" s="387">
        <v>8</v>
      </c>
      <c r="H30" s="387">
        <v>47</v>
      </c>
      <c r="I30" s="387">
        <v>210</v>
      </c>
      <c r="J30" s="387">
        <v>21</v>
      </c>
      <c r="K30" s="387">
        <v>11000</v>
      </c>
      <c r="L30" s="387">
        <v>17</v>
      </c>
      <c r="M30" s="387">
        <v>25</v>
      </c>
      <c r="N30" s="387">
        <v>70</v>
      </c>
      <c r="O30" s="387">
        <v>1E-3</v>
      </c>
      <c r="P30" s="387">
        <v>0.45</v>
      </c>
      <c r="Q30" s="387">
        <v>70</v>
      </c>
      <c r="R30" s="393">
        <v>0</v>
      </c>
      <c r="S30" s="397" t="str">
        <f>'Besluit bodemkwaliteit'!G71</f>
        <v/>
      </c>
      <c r="T30" s="396">
        <f>'analyse import'!L72</f>
        <v>0</v>
      </c>
    </row>
    <row r="31" spans="1:20">
      <c r="A31" s="386" t="s">
        <v>35</v>
      </c>
      <c r="B31" s="387">
        <v>0</v>
      </c>
      <c r="C31" s="387">
        <v>414</v>
      </c>
      <c r="D31" s="387">
        <v>0</v>
      </c>
      <c r="E31" s="387">
        <v>0</v>
      </c>
      <c r="F31" s="387">
        <v>182</v>
      </c>
      <c r="G31" s="387">
        <v>0.3</v>
      </c>
      <c r="H31" s="387">
        <v>2</v>
      </c>
      <c r="I31" s="387">
        <v>8</v>
      </c>
      <c r="J31" s="387">
        <v>78</v>
      </c>
      <c r="K31" s="387">
        <v>13000</v>
      </c>
      <c r="L31" s="387">
        <v>14</v>
      </c>
      <c r="M31" s="387">
        <v>40</v>
      </c>
      <c r="N31" s="387">
        <v>2000</v>
      </c>
      <c r="O31" s="387">
        <v>8</v>
      </c>
      <c r="P31" s="387">
        <v>0.25</v>
      </c>
      <c r="Q31" s="387">
        <v>2000</v>
      </c>
      <c r="R31" s="393">
        <v>0</v>
      </c>
      <c r="S31" s="397" t="str">
        <f>'Besluit bodemkwaliteit'!G73</f>
        <v/>
      </c>
      <c r="T31" s="396">
        <f>'analyse import'!L74</f>
        <v>0</v>
      </c>
    </row>
    <row r="32" spans="1:20">
      <c r="A32" s="386" t="s">
        <v>34</v>
      </c>
      <c r="B32" s="387">
        <v>0</v>
      </c>
      <c r="C32" s="387">
        <v>1000</v>
      </c>
      <c r="D32" s="387">
        <v>0</v>
      </c>
      <c r="E32" s="387">
        <v>0</v>
      </c>
      <c r="F32" s="387">
        <v>145</v>
      </c>
      <c r="G32" s="387">
        <v>7</v>
      </c>
      <c r="H32" s="387">
        <v>25</v>
      </c>
      <c r="I32" s="387">
        <v>107</v>
      </c>
      <c r="J32" s="387">
        <v>31</v>
      </c>
      <c r="K32" s="387">
        <v>0</v>
      </c>
      <c r="L32" s="387">
        <v>86</v>
      </c>
      <c r="M32" s="387">
        <v>100</v>
      </c>
      <c r="N32" s="387">
        <v>300</v>
      </c>
      <c r="O32" s="387">
        <v>0.03</v>
      </c>
      <c r="P32" s="387">
        <v>0.25</v>
      </c>
      <c r="Q32" s="387">
        <v>300</v>
      </c>
      <c r="R32" s="393">
        <v>0</v>
      </c>
      <c r="S32" s="397" t="str">
        <f>'Besluit bodemkwaliteit'!G72</f>
        <v/>
      </c>
      <c r="T32" s="396">
        <f>'analyse import'!L73</f>
        <v>0</v>
      </c>
    </row>
    <row r="33" spans="1:20">
      <c r="A33" s="386" t="s">
        <v>355</v>
      </c>
      <c r="B33" s="387">
        <v>0</v>
      </c>
      <c r="C33" s="387">
        <v>725</v>
      </c>
      <c r="D33" s="387">
        <v>0</v>
      </c>
      <c r="E33" s="387">
        <v>0</v>
      </c>
      <c r="F33" s="387">
        <v>194</v>
      </c>
      <c r="G33" s="387">
        <v>0.3</v>
      </c>
      <c r="H33" s="387">
        <v>11</v>
      </c>
      <c r="I33" s="387">
        <v>50</v>
      </c>
      <c r="J33" s="387">
        <v>74</v>
      </c>
      <c r="K33" s="387">
        <v>0</v>
      </c>
      <c r="L33" s="387">
        <v>5</v>
      </c>
      <c r="M33" s="387">
        <v>5</v>
      </c>
      <c r="N33" s="387">
        <v>200</v>
      </c>
      <c r="O33" s="387">
        <v>1E-3</v>
      </c>
      <c r="P33" s="387">
        <v>0.3</v>
      </c>
      <c r="Q33" s="387">
        <v>200</v>
      </c>
      <c r="R33" s="393">
        <v>0</v>
      </c>
      <c r="S33" s="397" t="str">
        <f>'Besluit bodemkwaliteit'!G74</f>
        <v/>
      </c>
      <c r="T33" s="396">
        <f>'analyse import'!L75</f>
        <v>0</v>
      </c>
    </row>
    <row r="34" spans="1:20">
      <c r="A34" s="386" t="s">
        <v>50</v>
      </c>
      <c r="B34" s="387">
        <v>1</v>
      </c>
      <c r="C34" s="387">
        <v>150</v>
      </c>
      <c r="D34" s="387">
        <v>0</v>
      </c>
      <c r="E34" s="387">
        <v>0</v>
      </c>
      <c r="F34" s="387">
        <v>400</v>
      </c>
      <c r="G34" s="387">
        <v>0.01</v>
      </c>
      <c r="H34" s="387">
        <v>0</v>
      </c>
      <c r="I34" s="387">
        <v>5.5000000000000003E-4</v>
      </c>
      <c r="J34" s="387">
        <v>150</v>
      </c>
      <c r="K34" s="387">
        <v>0</v>
      </c>
      <c r="L34" s="387">
        <v>40</v>
      </c>
      <c r="M34" s="387">
        <v>40</v>
      </c>
      <c r="N34" s="387">
        <v>0</v>
      </c>
      <c r="O34" s="387">
        <v>1E-3</v>
      </c>
      <c r="P34" s="387">
        <v>6.8</v>
      </c>
      <c r="Q34" s="387">
        <v>0</v>
      </c>
      <c r="R34" s="393">
        <v>9</v>
      </c>
      <c r="S34" s="397" t="str">
        <f>'Besluit bodemkwaliteit'!G89</f>
        <v/>
      </c>
      <c r="T34" s="396">
        <f>'analyse import'!L90</f>
        <v>0</v>
      </c>
    </row>
    <row r="35" spans="1:20">
      <c r="A35" s="386" t="s">
        <v>40</v>
      </c>
      <c r="B35" s="387">
        <v>0</v>
      </c>
      <c r="C35" s="387">
        <v>1780</v>
      </c>
      <c r="D35" s="387">
        <v>0</v>
      </c>
      <c r="E35" s="387">
        <v>0</v>
      </c>
      <c r="F35" s="387">
        <v>218</v>
      </c>
      <c r="G35" s="387">
        <v>0.04</v>
      </c>
      <c r="H35" s="387">
        <v>9</v>
      </c>
      <c r="I35" s="387">
        <v>50</v>
      </c>
      <c r="J35" s="387">
        <v>79</v>
      </c>
      <c r="K35" s="387">
        <v>9000</v>
      </c>
      <c r="L35" s="387">
        <v>0.05</v>
      </c>
      <c r="M35" s="387">
        <v>40</v>
      </c>
      <c r="N35" s="387">
        <v>70</v>
      </c>
      <c r="O35" s="387">
        <v>1E-3</v>
      </c>
      <c r="P35" s="387">
        <v>0</v>
      </c>
      <c r="Q35" s="387">
        <v>70</v>
      </c>
      <c r="R35" s="393">
        <v>0</v>
      </c>
      <c r="S35" s="397" t="str">
        <f>'Besluit bodemkwaliteit'!G79</f>
        <v/>
      </c>
      <c r="T35" s="396">
        <f>'analyse import'!L80</f>
        <v>0</v>
      </c>
    </row>
    <row r="36" spans="1:20">
      <c r="A36" s="386" t="s">
        <v>42</v>
      </c>
      <c r="B36" s="387">
        <v>0</v>
      </c>
      <c r="C36" s="387">
        <v>3600</v>
      </c>
      <c r="D36" s="387">
        <v>0</v>
      </c>
      <c r="E36" s="387">
        <v>0</v>
      </c>
      <c r="F36" s="387">
        <v>340</v>
      </c>
      <c r="G36" s="387">
        <v>1E-3</v>
      </c>
      <c r="H36" s="387">
        <v>13</v>
      </c>
      <c r="I36" s="387">
        <v>100</v>
      </c>
      <c r="J36" s="387">
        <v>121</v>
      </c>
      <c r="K36" s="387">
        <v>0</v>
      </c>
      <c r="L36" s="387">
        <v>0.05</v>
      </c>
      <c r="M36" s="387">
        <v>40</v>
      </c>
      <c r="N36" s="387">
        <v>5</v>
      </c>
      <c r="O36" s="387">
        <v>1E-3</v>
      </c>
      <c r="P36" s="387">
        <v>0</v>
      </c>
      <c r="Q36" s="387">
        <v>5</v>
      </c>
      <c r="R36" s="393">
        <v>0</v>
      </c>
      <c r="S36" s="397" t="str">
        <f>'Besluit bodemkwaliteit'!G81</f>
        <v/>
      </c>
      <c r="T36" s="396">
        <f>'analyse import'!L82</f>
        <v>0</v>
      </c>
    </row>
    <row r="37" spans="1:20">
      <c r="A37" s="386" t="s">
        <v>45</v>
      </c>
      <c r="B37" s="387">
        <v>1</v>
      </c>
      <c r="C37" s="387">
        <v>200</v>
      </c>
      <c r="D37" s="387">
        <v>0</v>
      </c>
      <c r="E37" s="387">
        <v>0</v>
      </c>
      <c r="F37" s="387">
        <v>435</v>
      </c>
      <c r="G37" s="387">
        <v>292</v>
      </c>
      <c r="H37" s="387">
        <v>0</v>
      </c>
      <c r="I37" s="387">
        <v>0.01</v>
      </c>
      <c r="J37" s="387">
        <v>435</v>
      </c>
      <c r="K37" s="387">
        <v>0</v>
      </c>
      <c r="L37" s="387">
        <v>40</v>
      </c>
      <c r="M37" s="387">
        <v>40</v>
      </c>
      <c r="N37" s="387">
        <v>0.5</v>
      </c>
      <c r="O37" s="387">
        <v>0</v>
      </c>
      <c r="P37" s="387">
        <v>0</v>
      </c>
      <c r="Q37" s="387">
        <v>0.5</v>
      </c>
      <c r="R37" s="393">
        <v>0</v>
      </c>
      <c r="S37" s="397" t="str">
        <f>'Besluit bodemkwaliteit'!G84</f>
        <v/>
      </c>
      <c r="T37" s="396">
        <f>'analyse import'!L85</f>
        <v>0</v>
      </c>
    </row>
    <row r="38" spans="1:20">
      <c r="A38" s="386" t="s">
        <v>46</v>
      </c>
      <c r="B38" s="387">
        <v>1</v>
      </c>
      <c r="C38" s="387">
        <v>150</v>
      </c>
      <c r="D38" s="387">
        <v>0</v>
      </c>
      <c r="E38" s="387">
        <v>0</v>
      </c>
      <c r="F38" s="387">
        <v>310</v>
      </c>
      <c r="G38" s="387">
        <v>8.6999999999999993</v>
      </c>
      <c r="H38" s="387">
        <v>0</v>
      </c>
      <c r="I38" s="387">
        <v>5.5000000000000003E-4</v>
      </c>
      <c r="J38" s="387">
        <v>150</v>
      </c>
      <c r="K38" s="387">
        <v>10000</v>
      </c>
      <c r="L38" s="387">
        <v>0</v>
      </c>
      <c r="M38" s="387">
        <v>40</v>
      </c>
      <c r="N38" s="387">
        <v>0.05</v>
      </c>
      <c r="O38" s="387">
        <v>1E-3</v>
      </c>
      <c r="P38" s="387">
        <v>0</v>
      </c>
      <c r="Q38" s="387">
        <v>5.0000000000000001E-3</v>
      </c>
      <c r="R38" s="393">
        <v>0</v>
      </c>
      <c r="S38" s="397" t="str">
        <f>'Besluit bodemkwaliteit'!G85</f>
        <v/>
      </c>
      <c r="T38" s="396">
        <f>'analyse import'!L86</f>
        <v>0</v>
      </c>
    </row>
    <row r="39" spans="1:20">
      <c r="A39" s="386" t="s">
        <v>280</v>
      </c>
      <c r="B39" s="387">
        <v>1</v>
      </c>
      <c r="C39" s="387">
        <v>500</v>
      </c>
      <c r="D39" s="387">
        <v>0</v>
      </c>
      <c r="E39" s="387">
        <v>0</v>
      </c>
      <c r="F39" s="387">
        <v>-14</v>
      </c>
      <c r="G39" s="387">
        <v>3400</v>
      </c>
      <c r="H39" s="387">
        <v>3</v>
      </c>
      <c r="I39" s="387">
        <v>7.77</v>
      </c>
      <c r="J39" s="387">
        <v>-78</v>
      </c>
      <c r="K39" s="387">
        <v>36000</v>
      </c>
      <c r="L39" s="387">
        <v>0.1</v>
      </c>
      <c r="M39" s="387">
        <v>0.1</v>
      </c>
      <c r="N39" s="387">
        <v>5</v>
      </c>
      <c r="O39" s="387">
        <v>0.3</v>
      </c>
      <c r="P39" s="387">
        <v>0.1</v>
      </c>
      <c r="Q39" s="387">
        <v>5</v>
      </c>
      <c r="R39" s="393">
        <v>0</v>
      </c>
      <c r="S39" s="397" t="str">
        <f ca="1">'Besluit bodemkwaliteit'!G93</f>
        <v/>
      </c>
      <c r="T39" s="396">
        <f ca="1">'analyse import'!L94</f>
        <v>0</v>
      </c>
    </row>
    <row r="40" spans="1:20">
      <c r="A40" s="386" t="s">
        <v>52</v>
      </c>
      <c r="B40" s="387">
        <v>0</v>
      </c>
      <c r="C40" s="387">
        <v>2136</v>
      </c>
      <c r="D40" s="387">
        <v>0</v>
      </c>
      <c r="E40" s="387">
        <v>0</v>
      </c>
      <c r="F40" s="387">
        <v>40</v>
      </c>
      <c r="G40" s="387">
        <v>470</v>
      </c>
      <c r="H40" s="387">
        <v>100</v>
      </c>
      <c r="I40" s="387">
        <v>350</v>
      </c>
      <c r="J40" s="387">
        <v>10</v>
      </c>
      <c r="K40" s="387">
        <v>22000</v>
      </c>
      <c r="L40" s="387">
        <v>3.9</v>
      </c>
      <c r="M40" s="387">
        <v>10</v>
      </c>
      <c r="N40" s="387">
        <v>1000</v>
      </c>
      <c r="O40" s="387">
        <v>2</v>
      </c>
      <c r="P40" s="387">
        <v>0.1</v>
      </c>
      <c r="Q40" s="387">
        <v>1000</v>
      </c>
      <c r="R40" s="393">
        <v>0</v>
      </c>
      <c r="S40" s="397" t="str">
        <f ca="1">'Besluit bodemkwaliteit'!G94</f>
        <v/>
      </c>
      <c r="T40" s="396">
        <f ca="1">'analyse import'!L95</f>
        <v>0</v>
      </c>
    </row>
    <row r="41" spans="1:20">
      <c r="A41" s="386" t="s">
        <v>54</v>
      </c>
      <c r="B41" s="387">
        <v>0</v>
      </c>
      <c r="C41" s="387">
        <v>725</v>
      </c>
      <c r="D41" s="387">
        <v>0</v>
      </c>
      <c r="E41" s="387">
        <v>0</v>
      </c>
      <c r="F41" s="387">
        <v>57</v>
      </c>
      <c r="G41" s="387">
        <v>243</v>
      </c>
      <c r="H41" s="387">
        <v>100</v>
      </c>
      <c r="I41" s="387">
        <v>400</v>
      </c>
      <c r="J41" s="387">
        <v>10</v>
      </c>
      <c r="K41" s="387">
        <v>56000</v>
      </c>
      <c r="L41" s="387">
        <v>15</v>
      </c>
      <c r="M41" s="387">
        <v>15</v>
      </c>
      <c r="N41" s="387">
        <v>900</v>
      </c>
      <c r="O41" s="387">
        <v>0.6</v>
      </c>
      <c r="P41" s="387">
        <v>0.2</v>
      </c>
      <c r="Q41" s="387">
        <v>900</v>
      </c>
      <c r="R41" s="393">
        <v>0</v>
      </c>
      <c r="S41" s="397" t="str">
        <f ca="1">'Besluit bodemkwaliteit'!G95</f>
        <v/>
      </c>
      <c r="T41" s="396">
        <f ca="1">'analyse import'!L96</f>
        <v>0</v>
      </c>
    </row>
    <row r="42" spans="1:20">
      <c r="A42" s="386" t="s">
        <v>55</v>
      </c>
      <c r="B42" s="387">
        <v>0</v>
      </c>
      <c r="C42" s="387">
        <v>670</v>
      </c>
      <c r="D42" s="387">
        <v>0</v>
      </c>
      <c r="E42" s="387">
        <v>0</v>
      </c>
      <c r="F42" s="387">
        <v>84</v>
      </c>
      <c r="G42" s="387">
        <v>87</v>
      </c>
      <c r="H42" s="387">
        <v>1</v>
      </c>
      <c r="I42" s="387">
        <v>7</v>
      </c>
      <c r="J42" s="387">
        <v>13</v>
      </c>
      <c r="K42" s="387">
        <v>62000</v>
      </c>
      <c r="L42" s="387">
        <v>6.4</v>
      </c>
      <c r="M42" s="387">
        <v>4</v>
      </c>
      <c r="N42" s="387">
        <v>400</v>
      </c>
      <c r="O42" s="387">
        <v>0.9</v>
      </c>
      <c r="P42" s="387">
        <v>0.2</v>
      </c>
      <c r="Q42" s="387">
        <v>400</v>
      </c>
      <c r="R42" s="393">
        <v>0</v>
      </c>
      <c r="S42" s="397" t="str">
        <f ca="1">'Besluit bodemkwaliteit'!G96</f>
        <v/>
      </c>
      <c r="T42" s="396">
        <f ca="1">'analyse import'!L97</f>
        <v>0</v>
      </c>
    </row>
    <row r="43" spans="1:20">
      <c r="A43" s="386" t="s">
        <v>53</v>
      </c>
      <c r="B43" s="387">
        <v>0</v>
      </c>
      <c r="C43" s="387">
        <v>1500</v>
      </c>
      <c r="D43" s="387">
        <v>0</v>
      </c>
      <c r="E43" s="387">
        <v>0</v>
      </c>
      <c r="F43" s="387">
        <v>32</v>
      </c>
      <c r="G43" s="387">
        <v>665</v>
      </c>
      <c r="H43" s="387">
        <v>5</v>
      </c>
      <c r="I43" s="387">
        <v>20</v>
      </c>
      <c r="J43" s="387">
        <v>-28</v>
      </c>
      <c r="K43" s="387">
        <v>58000</v>
      </c>
      <c r="L43" s="387">
        <v>0.3</v>
      </c>
      <c r="M43" s="387">
        <v>0.3</v>
      </c>
      <c r="N43" s="387">
        <v>10</v>
      </c>
      <c r="O43" s="387">
        <v>0.25</v>
      </c>
      <c r="P43" s="387">
        <v>0.3</v>
      </c>
      <c r="Q43" s="387">
        <v>10</v>
      </c>
      <c r="R43" s="393">
        <v>0</v>
      </c>
      <c r="S43" s="397" t="str">
        <f ca="1">'Besluit bodemkwaliteit'!G97</f>
        <v/>
      </c>
      <c r="T43" s="396">
        <f ca="1">'analyse import'!L98</f>
        <v>0</v>
      </c>
    </row>
    <row r="44" spans="1:20">
      <c r="A44" s="386" t="s">
        <v>356</v>
      </c>
      <c r="B44" s="387">
        <v>0</v>
      </c>
      <c r="C44" s="387">
        <v>770</v>
      </c>
      <c r="D44" s="387">
        <v>0</v>
      </c>
      <c r="E44" s="387">
        <v>0</v>
      </c>
      <c r="F44" s="387">
        <v>48</v>
      </c>
      <c r="G44" s="387">
        <v>220</v>
      </c>
      <c r="H44" s="387">
        <v>200</v>
      </c>
      <c r="I44" s="387">
        <v>790</v>
      </c>
      <c r="J44" s="387">
        <v>2</v>
      </c>
      <c r="K44" s="387">
        <v>56000</v>
      </c>
      <c r="L44" s="387">
        <v>1</v>
      </c>
      <c r="M44" s="387">
        <v>1</v>
      </c>
      <c r="N44" s="387">
        <v>20</v>
      </c>
      <c r="O44" s="387">
        <v>0.4</v>
      </c>
      <c r="P44" s="387">
        <v>0.3</v>
      </c>
      <c r="Q44" s="387">
        <v>20</v>
      </c>
      <c r="R44" s="393">
        <v>0</v>
      </c>
      <c r="S44" s="397" t="str">
        <f ca="1">'Besluit bodemkwaliteit'!G98</f>
        <v/>
      </c>
      <c r="T44" s="396">
        <f ca="1">'analyse import'!L99</f>
        <v>0</v>
      </c>
    </row>
    <row r="45" spans="1:20">
      <c r="A45" s="386" t="s">
        <v>367</v>
      </c>
      <c r="B45" s="387">
        <v>0</v>
      </c>
      <c r="C45" s="387">
        <v>908</v>
      </c>
      <c r="D45" s="387">
        <v>0</v>
      </c>
      <c r="E45" s="387">
        <v>0</v>
      </c>
      <c r="F45" s="387">
        <v>61</v>
      </c>
      <c r="G45" s="387">
        <v>212</v>
      </c>
      <c r="H45" s="387">
        <v>1</v>
      </c>
      <c r="I45" s="387">
        <v>5</v>
      </c>
      <c r="J45" s="387">
        <v>10</v>
      </c>
      <c r="K45" s="387">
        <v>20000</v>
      </c>
      <c r="L45" s="387">
        <v>5.6</v>
      </c>
      <c r="M45" s="387">
        <v>10</v>
      </c>
      <c r="N45" s="387">
        <v>400</v>
      </c>
      <c r="O45" s="387">
        <v>0.8</v>
      </c>
      <c r="P45" s="387">
        <v>0.25</v>
      </c>
      <c r="Q45" s="387">
        <v>400</v>
      </c>
      <c r="R45" s="393">
        <v>0</v>
      </c>
      <c r="S45" s="397" t="str">
        <f ca="1">'Besluit bodemkwaliteit'!G100</f>
        <v/>
      </c>
      <c r="T45" s="396">
        <f ca="1">'analyse import'!L101</f>
        <v>0</v>
      </c>
    </row>
    <row r="46" spans="1:20">
      <c r="A46" s="386" t="s">
        <v>357</v>
      </c>
      <c r="B46" s="387">
        <v>0</v>
      </c>
      <c r="C46" s="387">
        <v>14300</v>
      </c>
      <c r="D46" s="387">
        <v>0</v>
      </c>
      <c r="E46" s="387">
        <v>0</v>
      </c>
      <c r="F46" s="387">
        <v>74</v>
      </c>
      <c r="G46" s="387">
        <v>133</v>
      </c>
      <c r="H46" s="387">
        <v>100</v>
      </c>
      <c r="I46" s="387">
        <v>555</v>
      </c>
      <c r="J46" s="387">
        <v>10</v>
      </c>
      <c r="K46" s="387">
        <v>20000</v>
      </c>
      <c r="L46" s="387">
        <v>15</v>
      </c>
      <c r="M46" s="387">
        <v>15</v>
      </c>
      <c r="N46" s="387">
        <v>300</v>
      </c>
      <c r="O46" s="387">
        <v>0.05</v>
      </c>
      <c r="P46" s="387">
        <v>0.25</v>
      </c>
      <c r="Q46" s="387">
        <v>300</v>
      </c>
      <c r="R46" s="393">
        <v>0</v>
      </c>
      <c r="S46" s="397" t="str">
        <f ca="1">'Besluit bodemkwaliteit'!G101</f>
        <v/>
      </c>
      <c r="T46" s="396">
        <f ca="1">'analyse import'!L102</f>
        <v>0</v>
      </c>
    </row>
    <row r="47" spans="1:20">
      <c r="A47" s="386" t="s">
        <v>358</v>
      </c>
      <c r="B47" s="387">
        <v>0</v>
      </c>
      <c r="C47" s="387">
        <v>100</v>
      </c>
      <c r="D47" s="387">
        <v>0</v>
      </c>
      <c r="E47" s="387">
        <v>0</v>
      </c>
      <c r="F47" s="387">
        <v>114</v>
      </c>
      <c r="G47" s="387">
        <v>25</v>
      </c>
      <c r="H47" s="387">
        <v>10</v>
      </c>
      <c r="I47" s="387">
        <v>45</v>
      </c>
      <c r="J47" s="387">
        <v>0</v>
      </c>
      <c r="K47" s="387">
        <v>60000</v>
      </c>
      <c r="L47" s="387">
        <v>10</v>
      </c>
      <c r="M47" s="387">
        <v>10</v>
      </c>
      <c r="N47" s="387">
        <v>130</v>
      </c>
      <c r="O47" s="387">
        <v>0.4</v>
      </c>
      <c r="P47" s="387">
        <v>0.3</v>
      </c>
      <c r="Q47" s="387">
        <v>130</v>
      </c>
      <c r="R47" s="393">
        <v>0</v>
      </c>
      <c r="S47" s="397" t="str">
        <f ca="1">'Besluit bodemkwaliteit'!G102</f>
        <v/>
      </c>
      <c r="T47" s="396">
        <f ca="1">'analyse import'!L103</f>
        <v>0</v>
      </c>
    </row>
    <row r="48" spans="1:20">
      <c r="A48" s="386" t="s">
        <v>359</v>
      </c>
      <c r="B48" s="387">
        <v>1</v>
      </c>
      <c r="C48" s="387">
        <v>4290</v>
      </c>
      <c r="D48" s="387">
        <v>0</v>
      </c>
      <c r="E48" s="387">
        <v>0</v>
      </c>
      <c r="F48" s="387">
        <v>87</v>
      </c>
      <c r="G48" s="387">
        <v>77.3</v>
      </c>
      <c r="H48" s="387">
        <v>35</v>
      </c>
      <c r="I48" s="387">
        <v>190</v>
      </c>
      <c r="J48" s="387">
        <v>10</v>
      </c>
      <c r="K48" s="387">
        <v>36000</v>
      </c>
      <c r="L48" s="387">
        <v>2.5</v>
      </c>
      <c r="M48" s="387">
        <v>60</v>
      </c>
      <c r="N48" s="387">
        <v>500</v>
      </c>
      <c r="O48" s="387">
        <v>0.12</v>
      </c>
      <c r="P48" s="387">
        <v>0.25</v>
      </c>
      <c r="Q48" s="387">
        <v>500</v>
      </c>
      <c r="R48" s="393">
        <v>0</v>
      </c>
      <c r="S48" s="397" t="str">
        <f ca="1">'Besluit bodemkwaliteit'!G103</f>
        <v/>
      </c>
      <c r="T48" s="396">
        <f ca="1">'analyse import'!L104</f>
        <v>0</v>
      </c>
    </row>
    <row r="49" spans="1:20">
      <c r="A49" s="386" t="s">
        <v>360</v>
      </c>
      <c r="B49" s="387">
        <v>0</v>
      </c>
      <c r="C49" s="387">
        <v>250</v>
      </c>
      <c r="D49" s="387">
        <v>0</v>
      </c>
      <c r="E49" s="387">
        <v>0</v>
      </c>
      <c r="F49" s="387">
        <v>146</v>
      </c>
      <c r="G49" s="387">
        <v>6.6</v>
      </c>
      <c r="H49" s="387">
        <v>1</v>
      </c>
      <c r="I49" s="387">
        <v>7</v>
      </c>
      <c r="J49" s="387">
        <v>250</v>
      </c>
      <c r="K49" s="387">
        <v>36000</v>
      </c>
      <c r="L49" s="387">
        <v>0.7</v>
      </c>
      <c r="M49" s="387">
        <v>1</v>
      </c>
      <c r="N49" s="387">
        <v>10</v>
      </c>
      <c r="O49" s="387">
        <v>0.3</v>
      </c>
      <c r="P49" s="387">
        <v>0.3</v>
      </c>
      <c r="Q49" s="387">
        <v>10</v>
      </c>
      <c r="R49" s="393">
        <v>0</v>
      </c>
      <c r="S49" s="397" t="str">
        <f ca="1">'Besluit bodemkwaliteit'!G104</f>
        <v/>
      </c>
      <c r="T49" s="396">
        <f ca="1">'analyse import'!L105</f>
        <v>0</v>
      </c>
    </row>
    <row r="50" spans="1:20">
      <c r="A50" s="386" t="s">
        <v>361</v>
      </c>
      <c r="B50" s="387">
        <v>0</v>
      </c>
      <c r="C50" s="387">
        <v>8850</v>
      </c>
      <c r="D50" s="387">
        <v>0</v>
      </c>
      <c r="E50" s="387">
        <v>0</v>
      </c>
      <c r="F50" s="387">
        <v>121</v>
      </c>
      <c r="G50" s="387">
        <v>18.899999999999999</v>
      </c>
      <c r="H50" s="387">
        <v>20</v>
      </c>
      <c r="I50" s="387">
        <v>138</v>
      </c>
      <c r="J50" s="387">
        <v>10</v>
      </c>
      <c r="K50" s="387">
        <v>36000</v>
      </c>
      <c r="L50" s="387">
        <v>8.8000000000000007</v>
      </c>
      <c r="M50" s="387">
        <v>4</v>
      </c>
      <c r="N50" s="387">
        <v>40</v>
      </c>
      <c r="O50" s="387">
        <v>0.02</v>
      </c>
      <c r="P50" s="387">
        <v>0.15</v>
      </c>
      <c r="Q50" s="387">
        <v>40</v>
      </c>
      <c r="R50" s="393">
        <v>0</v>
      </c>
      <c r="S50" s="397" t="str">
        <f ca="1">'Besluit bodemkwaliteit'!G105</f>
        <v/>
      </c>
      <c r="T50" s="396">
        <f ca="1">'analyse import'!L106</f>
        <v>0</v>
      </c>
    </row>
    <row r="51" spans="1:20">
      <c r="A51" s="386" t="s">
        <v>281</v>
      </c>
      <c r="B51" s="387">
        <v>0</v>
      </c>
      <c r="C51" s="387">
        <v>1110</v>
      </c>
      <c r="D51" s="387">
        <v>0</v>
      </c>
      <c r="E51" s="387">
        <v>0</v>
      </c>
      <c r="F51" s="387">
        <v>132</v>
      </c>
      <c r="G51" s="387">
        <v>12</v>
      </c>
      <c r="H51" s="387">
        <v>10</v>
      </c>
      <c r="I51" s="387">
        <v>23</v>
      </c>
      <c r="J51" s="387">
        <v>28</v>
      </c>
      <c r="K51" s="387">
        <v>13000</v>
      </c>
      <c r="L51" s="387">
        <v>0.03</v>
      </c>
      <c r="M51" s="387">
        <v>30</v>
      </c>
      <c r="N51" s="387">
        <v>0.5</v>
      </c>
      <c r="O51" s="387">
        <v>0.04</v>
      </c>
      <c r="P51" s="387">
        <v>0</v>
      </c>
      <c r="Q51" s="387">
        <v>0.5</v>
      </c>
      <c r="R51" s="393">
        <v>0</v>
      </c>
      <c r="S51" s="394" t="str">
        <f>'Besluit bodemkwaliteit'!G114</f>
        <v/>
      </c>
      <c r="T51" s="396">
        <f>'analyse import'!L115</f>
        <v>0</v>
      </c>
    </row>
    <row r="52" spans="1:20">
      <c r="A52" s="386" t="s">
        <v>362</v>
      </c>
      <c r="B52" s="387">
        <v>0</v>
      </c>
      <c r="C52" s="387">
        <v>1000</v>
      </c>
      <c r="D52" s="387">
        <v>0</v>
      </c>
      <c r="E52" s="387">
        <v>0</v>
      </c>
      <c r="F52" s="387">
        <v>0</v>
      </c>
      <c r="G52" s="387">
        <v>7.0000000000000001E-3</v>
      </c>
      <c r="H52" s="387">
        <v>0</v>
      </c>
      <c r="I52" s="387">
        <v>0.1</v>
      </c>
      <c r="J52" s="387">
        <v>100</v>
      </c>
      <c r="K52" s="387">
        <v>0</v>
      </c>
      <c r="L52" s="387">
        <v>1</v>
      </c>
      <c r="M52" s="387">
        <v>1</v>
      </c>
      <c r="N52" s="387">
        <v>0.01</v>
      </c>
      <c r="O52" s="387">
        <v>1E-3</v>
      </c>
      <c r="P52" s="387">
        <v>0.02</v>
      </c>
      <c r="Q52" s="387">
        <v>0.01</v>
      </c>
      <c r="R52" s="393">
        <v>0.13900000000000001</v>
      </c>
      <c r="S52" s="394" t="str">
        <f>'Besluit bodemkwaliteit'!G132</f>
        <v/>
      </c>
      <c r="T52" s="396">
        <f>'analyse import'!L133</f>
        <v>0</v>
      </c>
    </row>
    <row r="53" spans="1:20">
      <c r="A53" s="386" t="s">
        <v>363</v>
      </c>
      <c r="B53" s="387">
        <v>0</v>
      </c>
      <c r="C53" s="387">
        <v>76</v>
      </c>
      <c r="D53" s="387">
        <v>0</v>
      </c>
      <c r="E53" s="387">
        <v>0</v>
      </c>
      <c r="F53" s="387">
        <v>288</v>
      </c>
      <c r="G53" s="387">
        <v>0.05</v>
      </c>
      <c r="H53" s="387">
        <v>0</v>
      </c>
      <c r="I53" s="387">
        <v>4.0000000000000001E-3</v>
      </c>
      <c r="J53" s="387">
        <v>288</v>
      </c>
      <c r="K53" s="387">
        <v>10000</v>
      </c>
      <c r="L53" s="387">
        <v>4</v>
      </c>
      <c r="M53" s="387">
        <v>4</v>
      </c>
      <c r="N53" s="387">
        <v>0.1</v>
      </c>
      <c r="O53" s="387">
        <v>0.1</v>
      </c>
      <c r="P53" s="387">
        <v>0.04</v>
      </c>
      <c r="Q53" s="387">
        <v>0.1</v>
      </c>
      <c r="R53" s="393">
        <v>1.4999999999999999E-2</v>
      </c>
      <c r="S53" s="394" t="str">
        <f>'Besluit bodemkwaliteit'!G152</f>
        <v/>
      </c>
      <c r="T53" s="396">
        <f>'analyse import'!L153</f>
        <v>0</v>
      </c>
    </row>
    <row r="54" spans="1:20">
      <c r="A54" s="386" t="s">
        <v>364</v>
      </c>
      <c r="B54" s="387">
        <v>0</v>
      </c>
      <c r="C54" s="387">
        <v>76</v>
      </c>
      <c r="D54" s="387">
        <v>0</v>
      </c>
      <c r="E54" s="387">
        <v>0</v>
      </c>
      <c r="F54" s="387">
        <v>288</v>
      </c>
      <c r="G54" s="387">
        <v>0.05</v>
      </c>
      <c r="H54" s="387">
        <v>0</v>
      </c>
      <c r="I54" s="387">
        <v>4.0000000000000001E-3</v>
      </c>
      <c r="J54" s="387">
        <v>288</v>
      </c>
      <c r="K54" s="387">
        <v>10000</v>
      </c>
      <c r="L54" s="387">
        <v>2</v>
      </c>
      <c r="M54" s="387">
        <v>2</v>
      </c>
      <c r="N54" s="387">
        <v>0.5</v>
      </c>
      <c r="O54" s="387">
        <v>0</v>
      </c>
      <c r="P54" s="387">
        <v>0.04</v>
      </c>
      <c r="Q54" s="387">
        <v>0.5</v>
      </c>
      <c r="R54" s="393">
        <v>3.0000000000000001E-3</v>
      </c>
      <c r="S54" s="394" t="str">
        <f>'Besluit bodemkwaliteit'!G157</f>
        <v/>
      </c>
      <c r="T54" s="396">
        <f>'analyse import'!L158</f>
        <v>0</v>
      </c>
    </row>
    <row r="55" spans="1:20">
      <c r="A55" s="386" t="s">
        <v>133</v>
      </c>
      <c r="B55" s="387">
        <v>0</v>
      </c>
      <c r="C55" s="387">
        <v>3000</v>
      </c>
      <c r="D55" s="387">
        <v>0</v>
      </c>
      <c r="E55" s="387">
        <v>0</v>
      </c>
      <c r="F55" s="387">
        <v>180</v>
      </c>
      <c r="G55" s="387">
        <v>0.01</v>
      </c>
      <c r="H55" s="387">
        <v>50</v>
      </c>
      <c r="I55" s="387">
        <v>5</v>
      </c>
      <c r="J55" s="387">
        <v>60</v>
      </c>
      <c r="K55" s="387">
        <v>15000</v>
      </c>
      <c r="L55" s="387">
        <v>5000</v>
      </c>
      <c r="M55" s="387">
        <v>5000</v>
      </c>
      <c r="N55" s="387">
        <v>600</v>
      </c>
      <c r="O55" s="387">
        <v>1E-3</v>
      </c>
      <c r="P55" s="387">
        <v>190</v>
      </c>
      <c r="Q55" s="387">
        <v>600</v>
      </c>
      <c r="R55" s="393">
        <v>1250</v>
      </c>
      <c r="S55" s="397" t="str">
        <f>'Besluit bodemkwaliteit'!G195</f>
        <v/>
      </c>
      <c r="T55" s="396">
        <f>'analyse import'!L196</f>
        <v>0</v>
      </c>
    </row>
    <row r="56" spans="1:20" ht="12" thickBot="1">
      <c r="A56" s="399" t="s">
        <v>124</v>
      </c>
      <c r="B56" s="400">
        <v>1</v>
      </c>
      <c r="C56" s="400">
        <v>0</v>
      </c>
      <c r="D56" s="400">
        <v>0</v>
      </c>
      <c r="E56" s="400">
        <v>0</v>
      </c>
      <c r="F56" s="400">
        <v>0</v>
      </c>
      <c r="G56" s="400">
        <v>0</v>
      </c>
      <c r="H56" s="400">
        <v>0</v>
      </c>
      <c r="I56" s="400">
        <v>0</v>
      </c>
      <c r="J56" s="400">
        <v>0</v>
      </c>
      <c r="K56" s="400">
        <v>0</v>
      </c>
      <c r="L56" s="400">
        <v>100</v>
      </c>
      <c r="M56" s="400">
        <v>100</v>
      </c>
      <c r="N56" s="400">
        <v>0</v>
      </c>
      <c r="O56" s="400">
        <v>0</v>
      </c>
      <c r="P56" s="400">
        <v>99.99</v>
      </c>
      <c r="Q56" s="400">
        <v>0</v>
      </c>
      <c r="R56" s="401">
        <v>100</v>
      </c>
      <c r="S56" s="394" t="str">
        <f>'Besluit bodemkwaliteit'!G185</f>
        <v/>
      </c>
      <c r="T56" s="402">
        <f>'analyse import'!L186</f>
        <v>0</v>
      </c>
    </row>
    <row r="57" spans="1:20" ht="12" thickBot="1">
      <c r="S57" s="403"/>
    </row>
    <row r="59" spans="1:20">
      <c r="A59" s="386" t="s">
        <v>319</v>
      </c>
      <c r="B59" s="507" t="str">
        <f ca="1">'Besluit bodemkwaliteit'!L243</f>
        <v>achtergrondwaarde</v>
      </c>
      <c r="C59" s="507"/>
      <c r="D59" s="507"/>
      <c r="E59" s="507"/>
      <c r="F59" s="507"/>
      <c r="G59" s="507"/>
      <c r="H59" s="387">
        <f ca="1">IF(B59="NVT",0,IF(B59="industrie",1,IF(B59="wonen",0,IF(B59="achtergrondwaarde",2))))</f>
        <v>2</v>
      </c>
      <c r="I59" s="404"/>
      <c r="J59" s="404"/>
      <c r="K59" s="404"/>
    </row>
    <row r="60" spans="1:20">
      <c r="A60" s="386" t="s">
        <v>320</v>
      </c>
      <c r="B60" s="507" t="str">
        <f>'Besluit bodemkwaliteit'!L244</f>
        <v>NVT</v>
      </c>
      <c r="C60" s="507"/>
      <c r="D60" s="507"/>
      <c r="E60" s="507"/>
      <c r="F60" s="507"/>
      <c r="G60" s="507"/>
      <c r="H60" s="387">
        <f>IF(B60="NVT",0,IF(B60="klasse B","basisklasse",IF(B60="klasse A","geen",IF(B60="achtergrondwaarde","geen",2))))</f>
        <v>0</v>
      </c>
      <c r="I60" s="404"/>
      <c r="J60" s="404"/>
      <c r="K60" s="404"/>
    </row>
    <row r="61" spans="1:20">
      <c r="A61" s="386" t="s">
        <v>635</v>
      </c>
      <c r="B61" s="387">
        <f ca="1">IF('teller overschrijdingen'!F213=0,0,1)</f>
        <v>0</v>
      </c>
      <c r="C61" s="405" t="s">
        <v>611</v>
      </c>
      <c r="H61" s="387">
        <f ca="1">B61</f>
        <v>0</v>
      </c>
    </row>
    <row r="62" spans="1:20">
      <c r="A62" s="386" t="s">
        <v>636</v>
      </c>
      <c r="B62" s="387">
        <f ca="1">IF('teller overschrijdingen'!L213&gt;0,1,0)</f>
        <v>0</v>
      </c>
      <c r="C62" s="405" t="s">
        <v>611</v>
      </c>
      <c r="H62" s="387">
        <f ca="1">B62</f>
        <v>0</v>
      </c>
    </row>
    <row r="63" spans="1:20">
      <c r="A63" s="386" t="s">
        <v>642</v>
      </c>
      <c r="B63" s="387">
        <f>IF('Besluit bodemkwaliteit'!G185="",0,IF('Besluit bodemkwaliteit'!G185&gt;100,1,0))</f>
        <v>0</v>
      </c>
      <c r="C63" s="404" t="s">
        <v>611</v>
      </c>
      <c r="D63" s="404"/>
      <c r="E63" s="404"/>
      <c r="F63" s="404"/>
      <c r="G63" s="404"/>
      <c r="H63" s="387">
        <f>IF(B63=1,B74,0)</f>
        <v>0</v>
      </c>
    </row>
    <row r="64" spans="1:20">
      <c r="A64" s="386" t="s">
        <v>637</v>
      </c>
      <c r="B64" s="387">
        <f>start!H23</f>
        <v>0</v>
      </c>
      <c r="C64" s="405" t="s">
        <v>611</v>
      </c>
      <c r="H64" s="387">
        <f>B64</f>
        <v>0</v>
      </c>
    </row>
    <row r="72" spans="1:2">
      <c r="A72" s="386" t="s">
        <v>632</v>
      </c>
      <c r="B72" s="387">
        <v>0</v>
      </c>
    </row>
    <row r="73" spans="1:2">
      <c r="A73" s="386" t="s">
        <v>633</v>
      </c>
      <c r="B73" s="387">
        <v>1</v>
      </c>
    </row>
    <row r="74" spans="1:2">
      <c r="A74" s="386" t="s">
        <v>643</v>
      </c>
      <c r="B74" s="387" t="s">
        <v>644</v>
      </c>
    </row>
    <row r="83" spans="2:2">
      <c r="B83" s="386"/>
    </row>
    <row r="84" spans="2:2">
      <c r="B84" s="386"/>
    </row>
  </sheetData>
  <mergeCells count="2">
    <mergeCell ref="B59:G59"/>
    <mergeCell ref="B60:G6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9"/>
  <sheetViews>
    <sheetView topLeftCell="A94" workbookViewId="0">
      <selection activeCell="D109" sqref="D109"/>
    </sheetView>
  </sheetViews>
  <sheetFormatPr defaultRowHeight="12.75"/>
  <cols>
    <col min="2" max="2" width="11.85546875" customWidth="1"/>
    <col min="3" max="3" width="28.28515625" customWidth="1"/>
    <col min="5" max="5" width="28.140625" style="303" customWidth="1"/>
  </cols>
  <sheetData>
    <row r="3" spans="2:7" ht="13.5" thickBot="1"/>
    <row r="4" spans="2:7" ht="15.75" customHeight="1" thickTop="1">
      <c r="B4" s="508" t="s">
        <v>456</v>
      </c>
      <c r="C4" s="508" t="s">
        <v>457</v>
      </c>
      <c r="D4" s="510" t="s">
        <v>458</v>
      </c>
      <c r="E4" s="304" t="s">
        <v>459</v>
      </c>
      <c r="F4" s="305" t="s">
        <v>460</v>
      </c>
      <c r="G4" s="508" t="s">
        <v>461</v>
      </c>
    </row>
    <row r="5" spans="2:7" ht="15.75" customHeight="1">
      <c r="B5" s="509"/>
      <c r="C5" s="509"/>
      <c r="D5" s="511"/>
      <c r="E5" s="306" t="s">
        <v>462</v>
      </c>
      <c r="F5" s="307" t="s">
        <v>463</v>
      </c>
      <c r="G5" s="509"/>
    </row>
    <row r="6" spans="2:7" ht="15.75" customHeight="1">
      <c r="B6" s="308">
        <v>319846</v>
      </c>
      <c r="C6" s="309" t="s">
        <v>464</v>
      </c>
      <c r="D6" s="310">
        <v>16</v>
      </c>
      <c r="E6" s="311">
        <v>-0.54876244200000002</v>
      </c>
      <c r="F6" s="310">
        <v>1.1100000000000001</v>
      </c>
      <c r="G6" s="312" t="s">
        <v>465</v>
      </c>
    </row>
    <row r="7" spans="2:7" ht="15.75" customHeight="1">
      <c r="B7" s="308">
        <v>319857</v>
      </c>
      <c r="C7" s="309" t="s">
        <v>466</v>
      </c>
      <c r="D7" s="310">
        <v>3</v>
      </c>
      <c r="E7" s="311">
        <v>-0.78417635900000005</v>
      </c>
      <c r="F7" s="310">
        <v>1.1100000000000001</v>
      </c>
      <c r="G7" s="312" t="s">
        <v>465</v>
      </c>
    </row>
    <row r="8" spans="2:7" ht="15.75" customHeight="1">
      <c r="B8" s="308">
        <v>319868</v>
      </c>
      <c r="C8" s="309" t="s">
        <v>467</v>
      </c>
      <c r="D8" s="310">
        <v>6</v>
      </c>
      <c r="E8" s="311">
        <v>-0.53553179299999998</v>
      </c>
      <c r="F8" s="310">
        <v>1.1100000000000001</v>
      </c>
      <c r="G8" s="312" t="s">
        <v>465</v>
      </c>
    </row>
    <row r="9" spans="2:7" ht="15.75" customHeight="1">
      <c r="B9" s="308">
        <v>71008</v>
      </c>
      <c r="C9" s="309" t="s">
        <v>468</v>
      </c>
      <c r="D9" s="313"/>
      <c r="E9" s="311">
        <v>-0.62282353099999999</v>
      </c>
      <c r="F9" s="310">
        <v>1.1100000000000001</v>
      </c>
      <c r="G9" s="312" t="s">
        <v>465</v>
      </c>
    </row>
    <row r="10" spans="2:7" ht="15.75" customHeight="1">
      <c r="B10" s="308">
        <v>58899</v>
      </c>
      <c r="C10" s="309" t="s">
        <v>469</v>
      </c>
      <c r="D10" s="310">
        <v>118</v>
      </c>
      <c r="E10" s="311">
        <v>-1.7273206729999999</v>
      </c>
      <c r="F10" s="310">
        <v>1.1100000000000001</v>
      </c>
      <c r="G10" s="312" t="s">
        <v>465</v>
      </c>
    </row>
    <row r="11" spans="2:7" ht="15.75" customHeight="1">
      <c r="B11" s="308">
        <v>115297</v>
      </c>
      <c r="C11" s="309" t="s">
        <v>101</v>
      </c>
      <c r="D11" s="310">
        <v>97</v>
      </c>
      <c r="E11" s="311">
        <v>-2.6073587740000002</v>
      </c>
      <c r="F11" s="310">
        <v>1.1100000000000001</v>
      </c>
      <c r="G11" s="312" t="s">
        <v>465</v>
      </c>
    </row>
    <row r="12" spans="2:7" ht="15.75" customHeight="1">
      <c r="B12" s="308">
        <v>1031078</v>
      </c>
      <c r="C12" s="309" t="s">
        <v>100</v>
      </c>
      <c r="D12" s="310">
        <v>1</v>
      </c>
      <c r="E12" s="311">
        <v>-1.121478204</v>
      </c>
      <c r="F12" s="310">
        <v>1.1100000000000001</v>
      </c>
      <c r="G12" s="312" t="s">
        <v>465</v>
      </c>
    </row>
    <row r="13" spans="2:7" ht="15.75" customHeight="1">
      <c r="B13" s="308">
        <v>57749</v>
      </c>
      <c r="C13" s="309" t="s">
        <v>470</v>
      </c>
      <c r="D13" s="310">
        <v>28</v>
      </c>
      <c r="E13" s="311">
        <v>-2.0538920959999998</v>
      </c>
      <c r="F13" s="310">
        <v>1.1100000000000001</v>
      </c>
      <c r="G13" s="312" t="s">
        <v>465</v>
      </c>
    </row>
    <row r="14" spans="2:7" ht="15.75" customHeight="1">
      <c r="B14" s="308">
        <v>118741</v>
      </c>
      <c r="C14" s="309" t="s">
        <v>471</v>
      </c>
      <c r="D14" s="310">
        <v>14</v>
      </c>
      <c r="E14" s="311">
        <v>-0.81832217699999998</v>
      </c>
      <c r="F14" s="310">
        <v>1.1100000000000001</v>
      </c>
      <c r="G14" s="312" t="s">
        <v>465</v>
      </c>
    </row>
    <row r="15" spans="2:7" ht="15.75" customHeight="1">
      <c r="B15" s="308">
        <v>309002</v>
      </c>
      <c r="C15" s="309" t="s">
        <v>472</v>
      </c>
      <c r="D15" s="310">
        <v>53</v>
      </c>
      <c r="E15" s="311">
        <v>-2.0496601550000002</v>
      </c>
      <c r="F15" s="310">
        <v>1.1100000000000001</v>
      </c>
      <c r="G15" s="312" t="s">
        <v>465</v>
      </c>
    </row>
    <row r="16" spans="2:7" ht="15.75" customHeight="1">
      <c r="B16" s="308">
        <v>60571</v>
      </c>
      <c r="C16" s="309" t="s">
        <v>473</v>
      </c>
      <c r="D16" s="310">
        <v>84</v>
      </c>
      <c r="E16" s="311">
        <v>-2.4834924589999998</v>
      </c>
      <c r="F16" s="310">
        <v>1.1100000000000001</v>
      </c>
      <c r="G16" s="312" t="s">
        <v>465</v>
      </c>
    </row>
    <row r="17" spans="2:7" ht="15.75" customHeight="1">
      <c r="B17" s="308">
        <v>72208</v>
      </c>
      <c r="C17" s="309" t="s">
        <v>474</v>
      </c>
      <c r="D17" s="310">
        <v>108</v>
      </c>
      <c r="E17" s="311">
        <v>-2.9731800549999998</v>
      </c>
      <c r="F17" s="310">
        <v>1.1100000000000001</v>
      </c>
      <c r="G17" s="312" t="s">
        <v>465</v>
      </c>
    </row>
    <row r="18" spans="2:7" ht="15.75" customHeight="1">
      <c r="B18" s="308">
        <v>465736</v>
      </c>
      <c r="C18" s="309" t="s">
        <v>475</v>
      </c>
      <c r="D18" s="310">
        <v>2</v>
      </c>
      <c r="E18" s="311">
        <v>-3.0713337520000001</v>
      </c>
      <c r="F18" s="310">
        <v>1.1100000000000001</v>
      </c>
      <c r="G18" s="312" t="s">
        <v>465</v>
      </c>
    </row>
    <row r="19" spans="2:7" ht="15.75" customHeight="1">
      <c r="B19" s="308">
        <v>297789</v>
      </c>
      <c r="C19" s="309" t="s">
        <v>476</v>
      </c>
      <c r="D19" s="310">
        <v>4</v>
      </c>
      <c r="E19" s="311">
        <v>0.52226421999999995</v>
      </c>
      <c r="F19" s="310">
        <v>1.1100000000000001</v>
      </c>
      <c r="G19" s="312" t="s">
        <v>465</v>
      </c>
    </row>
    <row r="20" spans="2:7" ht="15.75" customHeight="1">
      <c r="B20" s="308">
        <v>76448</v>
      </c>
      <c r="C20" s="309" t="s">
        <v>477</v>
      </c>
      <c r="D20" s="310">
        <v>54</v>
      </c>
      <c r="E20" s="311">
        <v>-2.23065187</v>
      </c>
      <c r="F20" s="310">
        <v>1.1100000000000001</v>
      </c>
      <c r="G20" s="312" t="s">
        <v>465</v>
      </c>
    </row>
    <row r="21" spans="2:7" ht="15.75" customHeight="1">
      <c r="B21" s="308">
        <v>1024573</v>
      </c>
      <c r="C21" s="309" t="s">
        <v>478</v>
      </c>
      <c r="D21" s="310">
        <v>4</v>
      </c>
      <c r="E21" s="311">
        <v>-1.83264852</v>
      </c>
      <c r="F21" s="310">
        <v>1.1100000000000001</v>
      </c>
      <c r="G21" s="312" t="s">
        <v>465</v>
      </c>
    </row>
    <row r="22" spans="2:7" ht="15.75" customHeight="1">
      <c r="B22" s="308">
        <v>53190</v>
      </c>
      <c r="C22" s="309" t="s">
        <v>479</v>
      </c>
      <c r="D22" s="313"/>
      <c r="E22" s="311">
        <v>-2.413767923</v>
      </c>
      <c r="F22" s="310">
        <v>0.91</v>
      </c>
      <c r="G22" s="312" t="s">
        <v>92</v>
      </c>
    </row>
    <row r="23" spans="2:7" ht="15.75" customHeight="1">
      <c r="B23" s="308">
        <v>3424826</v>
      </c>
      <c r="C23" s="309" t="s">
        <v>480</v>
      </c>
      <c r="D23" s="313"/>
      <c r="E23" s="311">
        <v>-2.413767923</v>
      </c>
      <c r="F23" s="310">
        <v>0.91</v>
      </c>
      <c r="G23" s="312" t="s">
        <v>92</v>
      </c>
    </row>
    <row r="24" spans="2:7" ht="15.75" customHeight="1">
      <c r="B24" s="308" t="s">
        <v>481</v>
      </c>
      <c r="C24" s="309" t="s">
        <v>482</v>
      </c>
      <c r="D24" s="313"/>
      <c r="E24" s="311">
        <v>-2.413767923</v>
      </c>
      <c r="F24" s="310">
        <v>0.91</v>
      </c>
      <c r="G24" s="312" t="s">
        <v>92</v>
      </c>
    </row>
    <row r="25" spans="2:7" ht="15.75" customHeight="1">
      <c r="B25" s="308">
        <v>72548</v>
      </c>
      <c r="C25" s="309" t="s">
        <v>483</v>
      </c>
      <c r="D25" s="310">
        <v>22</v>
      </c>
      <c r="E25" s="311">
        <v>-2.313858615</v>
      </c>
      <c r="F25" s="310">
        <v>0.91</v>
      </c>
      <c r="G25" s="312" t="s">
        <v>92</v>
      </c>
    </row>
    <row r="26" spans="2:7" ht="15.75" customHeight="1">
      <c r="B26" s="308">
        <v>72559</v>
      </c>
      <c r="C26" s="309" t="s">
        <v>484</v>
      </c>
      <c r="D26" s="310">
        <v>9</v>
      </c>
      <c r="E26" s="311">
        <v>-2.55898264</v>
      </c>
      <c r="F26" s="310">
        <v>0.91</v>
      </c>
      <c r="G26" s="312" t="s">
        <v>92</v>
      </c>
    </row>
    <row r="27" spans="2:7" ht="15.75" customHeight="1">
      <c r="B27" s="308">
        <v>50293</v>
      </c>
      <c r="C27" s="309" t="s">
        <v>485</v>
      </c>
      <c r="D27" s="310">
        <v>146</v>
      </c>
      <c r="E27" s="311">
        <v>-2.368462515</v>
      </c>
      <c r="F27" s="310">
        <v>0.91</v>
      </c>
      <c r="G27" s="312" t="s">
        <v>92</v>
      </c>
    </row>
    <row r="28" spans="2:7" ht="15.75" customHeight="1">
      <c r="B28" s="308">
        <v>7440382</v>
      </c>
      <c r="C28" s="309" t="s">
        <v>199</v>
      </c>
      <c r="D28" s="310">
        <v>56</v>
      </c>
      <c r="E28" s="311">
        <v>0.23089927099999999</v>
      </c>
      <c r="F28" s="310">
        <v>0.7</v>
      </c>
      <c r="G28" s="312" t="s">
        <v>486</v>
      </c>
    </row>
    <row r="29" spans="2:7" ht="15.75" customHeight="1">
      <c r="B29" s="308">
        <v>7440439</v>
      </c>
      <c r="C29" s="309" t="s">
        <v>200</v>
      </c>
      <c r="D29" s="310">
        <v>264</v>
      </c>
      <c r="E29" s="311">
        <v>-0.92723054900000001</v>
      </c>
      <c r="F29" s="310">
        <v>0.98</v>
      </c>
      <c r="G29" s="312" t="s">
        <v>487</v>
      </c>
    </row>
    <row r="30" spans="2:7" ht="15.75" customHeight="1">
      <c r="B30" s="308">
        <v>7440473</v>
      </c>
      <c r="C30" s="309" t="s">
        <v>201</v>
      </c>
      <c r="D30" s="310">
        <v>41</v>
      </c>
      <c r="E30" s="311">
        <v>-0.15982621599999999</v>
      </c>
      <c r="F30" s="310">
        <v>0.9</v>
      </c>
      <c r="G30" s="312" t="s">
        <v>488</v>
      </c>
    </row>
    <row r="31" spans="2:7" ht="15.75" customHeight="1">
      <c r="B31" s="308">
        <v>7440508</v>
      </c>
      <c r="C31" s="309" t="s">
        <v>202</v>
      </c>
      <c r="D31" s="310">
        <v>267</v>
      </c>
      <c r="E31" s="311">
        <v>-1.5391903739999999</v>
      </c>
      <c r="F31" s="310">
        <v>0.71</v>
      </c>
      <c r="G31" s="312" t="s">
        <v>489</v>
      </c>
    </row>
    <row r="32" spans="2:7" ht="15.75" customHeight="1">
      <c r="B32" s="308">
        <v>7439976</v>
      </c>
      <c r="C32" s="309" t="s">
        <v>203</v>
      </c>
      <c r="D32" s="310">
        <v>146</v>
      </c>
      <c r="E32" s="311">
        <v>-1.7995297809999999</v>
      </c>
      <c r="F32" s="310">
        <v>0.7</v>
      </c>
      <c r="G32" s="312" t="s">
        <v>490</v>
      </c>
    </row>
    <row r="33" spans="2:7" ht="15.75" customHeight="1">
      <c r="B33" s="308">
        <v>7440020</v>
      </c>
      <c r="C33" s="309" t="s">
        <v>204</v>
      </c>
      <c r="D33" s="310">
        <v>66</v>
      </c>
      <c r="E33" s="311">
        <v>1.431337E-3</v>
      </c>
      <c r="F33" s="310">
        <v>0.79</v>
      </c>
      <c r="G33" s="312" t="s">
        <v>491</v>
      </c>
    </row>
    <row r="34" spans="2:7" ht="15.75" customHeight="1">
      <c r="B34" s="308">
        <v>7439921</v>
      </c>
      <c r="C34" s="309" t="s">
        <v>205</v>
      </c>
      <c r="D34" s="310">
        <v>89</v>
      </c>
      <c r="E34" s="311">
        <v>-0.102054716</v>
      </c>
      <c r="F34" s="310">
        <v>0.88</v>
      </c>
      <c r="G34" s="312" t="s">
        <v>492</v>
      </c>
    </row>
    <row r="35" spans="2:7" ht="15.75" customHeight="1">
      <c r="B35" s="308">
        <v>7440666</v>
      </c>
      <c r="C35" s="309" t="s">
        <v>206</v>
      </c>
      <c r="D35" s="310">
        <v>188</v>
      </c>
      <c r="E35" s="311">
        <v>-0.46343994500000002</v>
      </c>
      <c r="F35" s="310">
        <v>0.72</v>
      </c>
      <c r="G35" s="312" t="s">
        <v>493</v>
      </c>
    </row>
    <row r="36" spans="2:7" ht="15.75" customHeight="1">
      <c r="B36" s="308"/>
      <c r="C36" s="309" t="s">
        <v>251</v>
      </c>
      <c r="D36" s="310"/>
      <c r="E36" s="311">
        <v>1.84</v>
      </c>
      <c r="F36" s="310">
        <v>0.93</v>
      </c>
      <c r="G36" s="312"/>
    </row>
    <row r="37" spans="2:7" ht="15.75" customHeight="1">
      <c r="B37" s="308"/>
      <c r="C37" s="309" t="s">
        <v>332</v>
      </c>
      <c r="D37" s="310"/>
      <c r="E37" s="311">
        <v>0.23</v>
      </c>
      <c r="F37" s="310">
        <v>1.07</v>
      </c>
      <c r="G37" s="312"/>
    </row>
    <row r="38" spans="2:7" ht="15.75" customHeight="1">
      <c r="B38" s="308"/>
      <c r="C38" s="309" t="s">
        <v>613</v>
      </c>
      <c r="D38" s="310"/>
      <c r="E38" s="311">
        <v>-0.7</v>
      </c>
      <c r="F38" s="310">
        <v>1.1599999999999999</v>
      </c>
      <c r="G38" s="312"/>
    </row>
    <row r="39" spans="2:7" ht="15.75" customHeight="1">
      <c r="B39" s="308"/>
      <c r="C39" s="309" t="s">
        <v>351</v>
      </c>
      <c r="D39" s="310"/>
      <c r="E39" s="311">
        <v>0.79</v>
      </c>
      <c r="F39" s="310">
        <v>0.94</v>
      </c>
      <c r="G39" s="312"/>
    </row>
    <row r="40" spans="2:7" ht="15.75" customHeight="1">
      <c r="B40" s="308"/>
      <c r="C40" s="309" t="s">
        <v>530</v>
      </c>
      <c r="D40" s="310"/>
      <c r="E40" s="311">
        <v>1.41</v>
      </c>
      <c r="F40" s="310">
        <v>0.41</v>
      </c>
      <c r="G40" s="312"/>
    </row>
    <row r="41" spans="2:7" ht="15.75" customHeight="1">
      <c r="B41" s="308"/>
      <c r="C41" s="309" t="s">
        <v>614</v>
      </c>
      <c r="D41" s="310"/>
      <c r="E41" s="311">
        <v>-0.19</v>
      </c>
      <c r="F41" s="310">
        <v>0.42</v>
      </c>
      <c r="G41" s="312"/>
    </row>
    <row r="42" spans="2:7" ht="15.75" customHeight="1">
      <c r="B42" s="309" t="s">
        <v>494</v>
      </c>
      <c r="C42" s="309" t="s">
        <v>495</v>
      </c>
      <c r="D42" s="313"/>
      <c r="E42" s="311">
        <v>-2</v>
      </c>
      <c r="F42" s="310">
        <v>0.71</v>
      </c>
      <c r="G42" s="312" t="s">
        <v>496</v>
      </c>
    </row>
    <row r="43" spans="2:7" ht="15.75" customHeight="1">
      <c r="B43" s="308">
        <v>87865</v>
      </c>
      <c r="C43" s="309" t="s">
        <v>497</v>
      </c>
      <c r="D43" s="310">
        <v>101</v>
      </c>
      <c r="E43" s="311">
        <v>-1.231593435</v>
      </c>
      <c r="F43" s="310">
        <v>0.69</v>
      </c>
      <c r="G43" s="312" t="s">
        <v>498</v>
      </c>
    </row>
    <row r="44" spans="2:7" ht="15.75" customHeight="1">
      <c r="B44" s="308">
        <v>120127</v>
      </c>
      <c r="C44" s="309" t="s">
        <v>499</v>
      </c>
      <c r="D44" s="313"/>
      <c r="E44" s="311">
        <v>-1.518758904</v>
      </c>
      <c r="F44" s="310">
        <v>0.71</v>
      </c>
      <c r="G44" s="312" t="s">
        <v>496</v>
      </c>
    </row>
    <row r="45" spans="2:7" ht="15.75" customHeight="1">
      <c r="B45" s="308">
        <v>56553</v>
      </c>
      <c r="C45" s="309" t="s">
        <v>500</v>
      </c>
      <c r="D45" s="313"/>
      <c r="E45" s="311">
        <v>-2.4523445559999999</v>
      </c>
      <c r="F45" s="310">
        <v>0.71</v>
      </c>
      <c r="G45" s="312" t="s">
        <v>496</v>
      </c>
    </row>
    <row r="46" spans="2:7" ht="15.75" customHeight="1">
      <c r="B46" s="308">
        <v>50328</v>
      </c>
      <c r="C46" s="309" t="s">
        <v>501</v>
      </c>
      <c r="D46" s="313"/>
      <c r="E46" s="311">
        <v>-2.7845852390000001</v>
      </c>
      <c r="F46" s="310">
        <v>0.71</v>
      </c>
      <c r="G46" s="312" t="s">
        <v>496</v>
      </c>
    </row>
    <row r="47" spans="2:7" ht="15.75" customHeight="1">
      <c r="B47" s="308">
        <v>191242</v>
      </c>
      <c r="C47" s="309" t="s">
        <v>502</v>
      </c>
      <c r="D47" s="313"/>
      <c r="E47" s="311">
        <v>-3.3057745380000001</v>
      </c>
      <c r="F47" s="310">
        <v>0.71</v>
      </c>
      <c r="G47" s="312" t="s">
        <v>496</v>
      </c>
    </row>
    <row r="48" spans="2:7" ht="15.75" customHeight="1">
      <c r="B48" s="308">
        <v>207089</v>
      </c>
      <c r="C48" s="309" t="s">
        <v>503</v>
      </c>
      <c r="D48" s="313"/>
      <c r="E48" s="311">
        <v>-2.7845852390000001</v>
      </c>
      <c r="F48" s="310">
        <v>0.71</v>
      </c>
      <c r="G48" s="312" t="s">
        <v>496</v>
      </c>
    </row>
    <row r="49" spans="1:7" ht="15.75" customHeight="1">
      <c r="B49" s="308">
        <v>218019</v>
      </c>
      <c r="C49" s="309" t="s">
        <v>504</v>
      </c>
      <c r="D49" s="313"/>
      <c r="E49" s="311">
        <v>-2.4523445559999999</v>
      </c>
      <c r="F49" s="310">
        <v>0.71</v>
      </c>
      <c r="G49" s="312" t="s">
        <v>496</v>
      </c>
    </row>
    <row r="50" spans="1:7" ht="15.75" customHeight="1">
      <c r="B50" s="308">
        <v>85018</v>
      </c>
      <c r="C50" s="309" t="s">
        <v>505</v>
      </c>
      <c r="D50" s="313"/>
      <c r="E50" s="311">
        <v>-1.518758904</v>
      </c>
      <c r="F50" s="310">
        <v>0.71</v>
      </c>
      <c r="G50" s="312" t="s">
        <v>496</v>
      </c>
    </row>
    <row r="51" spans="1:7" ht="15.75" customHeight="1">
      <c r="B51" s="308">
        <v>206440</v>
      </c>
      <c r="C51" s="309" t="s">
        <v>506</v>
      </c>
      <c r="D51" s="310">
        <v>25</v>
      </c>
      <c r="E51" s="311">
        <v>-2.0291365149999998</v>
      </c>
      <c r="F51" s="310">
        <v>0.71</v>
      </c>
      <c r="G51" s="312" t="s">
        <v>496</v>
      </c>
    </row>
    <row r="52" spans="1:7" ht="15.75" customHeight="1">
      <c r="B52" s="308">
        <v>193395</v>
      </c>
      <c r="C52" s="309" t="s">
        <v>507</v>
      </c>
      <c r="D52" s="313"/>
      <c r="E52" s="311">
        <v>-3.129683279</v>
      </c>
      <c r="F52" s="310">
        <v>0.71</v>
      </c>
      <c r="G52" s="312" t="s">
        <v>496</v>
      </c>
    </row>
    <row r="53" spans="1:7" ht="15.75" customHeight="1">
      <c r="B53" s="308">
        <v>91203</v>
      </c>
      <c r="C53" s="309" t="s">
        <v>508</v>
      </c>
      <c r="D53" s="313"/>
      <c r="E53" s="311">
        <v>-0.71613751599999997</v>
      </c>
      <c r="F53" s="310">
        <v>0.71</v>
      </c>
      <c r="G53" s="312" t="s">
        <v>496</v>
      </c>
    </row>
    <row r="54" spans="1:7" ht="15.75" customHeight="1">
      <c r="B54" s="308">
        <v>7012375</v>
      </c>
      <c r="C54" s="309" t="s">
        <v>509</v>
      </c>
      <c r="D54" s="313"/>
      <c r="E54" s="311">
        <v>-0.33241260700000003</v>
      </c>
      <c r="F54" s="310">
        <v>0.64</v>
      </c>
      <c r="G54" s="312" t="s">
        <v>510</v>
      </c>
    </row>
    <row r="55" spans="1:7" ht="15.75" customHeight="1">
      <c r="B55" s="308">
        <v>35693993</v>
      </c>
      <c r="C55" s="309" t="s">
        <v>511</v>
      </c>
      <c r="D55" s="313"/>
      <c r="E55" s="311">
        <v>-0.36789786200000002</v>
      </c>
      <c r="F55" s="310">
        <v>0.64</v>
      </c>
      <c r="G55" s="312" t="s">
        <v>510</v>
      </c>
    </row>
    <row r="56" spans="1:7" ht="15.75" customHeight="1">
      <c r="B56" s="308">
        <v>37680732</v>
      </c>
      <c r="C56" s="309" t="s">
        <v>512</v>
      </c>
      <c r="D56" s="310">
        <v>4</v>
      </c>
      <c r="E56" s="311">
        <v>-1.1494692099999999</v>
      </c>
      <c r="F56" s="310">
        <v>0.64</v>
      </c>
      <c r="G56" s="312" t="s">
        <v>510</v>
      </c>
    </row>
    <row r="57" spans="1:7" ht="15.75" customHeight="1">
      <c r="B57" s="308">
        <v>31508006</v>
      </c>
      <c r="C57" s="309" t="s">
        <v>513</v>
      </c>
      <c r="D57" s="313"/>
      <c r="E57" s="311">
        <v>-1.96946921</v>
      </c>
      <c r="F57" s="310">
        <v>0.64</v>
      </c>
      <c r="G57" s="312" t="s">
        <v>510</v>
      </c>
    </row>
    <row r="58" spans="1:7" ht="15.75" customHeight="1">
      <c r="B58" s="308">
        <v>35065282</v>
      </c>
      <c r="C58" s="309" t="s">
        <v>514</v>
      </c>
      <c r="D58" s="313"/>
      <c r="E58" s="311">
        <v>-1.2859031830000001</v>
      </c>
      <c r="F58" s="310">
        <v>0.64</v>
      </c>
      <c r="G58" s="312" t="s">
        <v>510</v>
      </c>
    </row>
    <row r="59" spans="1:7" ht="15.75" customHeight="1">
      <c r="B59" s="308">
        <v>35065271</v>
      </c>
      <c r="C59" s="309" t="s">
        <v>515</v>
      </c>
      <c r="D59" s="313"/>
      <c r="E59" s="311">
        <v>-1.445903183</v>
      </c>
      <c r="F59" s="310">
        <v>0.64</v>
      </c>
      <c r="G59" s="312" t="s">
        <v>510</v>
      </c>
    </row>
    <row r="60" spans="1:7" ht="15.75" customHeight="1">
      <c r="B60" s="308">
        <v>35065293</v>
      </c>
      <c r="C60" s="309" t="s">
        <v>516</v>
      </c>
      <c r="D60" s="313"/>
      <c r="E60" s="311">
        <v>-1.5263117749999999</v>
      </c>
      <c r="F60" s="310">
        <v>0.64</v>
      </c>
      <c r="G60" s="312" t="s">
        <v>510</v>
      </c>
    </row>
    <row r="61" spans="1:7" ht="15.75" customHeight="1" thickBot="1">
      <c r="B61" s="314">
        <v>87683</v>
      </c>
      <c r="C61" s="315" t="s">
        <v>517</v>
      </c>
      <c r="D61" s="316">
        <v>7</v>
      </c>
      <c r="E61" s="317">
        <v>-1.5298165969999999</v>
      </c>
      <c r="F61" s="316">
        <v>0.3</v>
      </c>
      <c r="G61" s="318" t="s">
        <v>518</v>
      </c>
    </row>
    <row r="62" spans="1:7" ht="13.5" thickTop="1"/>
    <row r="63" spans="1:7">
      <c r="A63" t="s">
        <v>519</v>
      </c>
    </row>
    <row r="65" spans="1:4">
      <c r="A65" s="319" t="s">
        <v>520</v>
      </c>
      <c r="B65" s="319" t="s">
        <v>456</v>
      </c>
      <c r="C65" s="319" t="s">
        <v>521</v>
      </c>
      <c r="D65" s="319" t="s">
        <v>522</v>
      </c>
    </row>
    <row r="66" spans="1:4">
      <c r="A66" s="320">
        <v>455</v>
      </c>
      <c r="B66" s="320">
        <v>309002</v>
      </c>
      <c r="C66" s="321" t="s">
        <v>472</v>
      </c>
      <c r="D66" s="320">
        <v>419276</v>
      </c>
    </row>
    <row r="67" spans="1:4">
      <c r="A67" s="320">
        <v>461</v>
      </c>
      <c r="B67" s="320">
        <v>115297</v>
      </c>
      <c r="C67" s="321" t="s">
        <v>523</v>
      </c>
      <c r="D67" s="320">
        <v>5922</v>
      </c>
    </row>
    <row r="68" spans="1:4">
      <c r="A68" s="320">
        <v>463</v>
      </c>
      <c r="B68" s="320">
        <v>1031078</v>
      </c>
      <c r="C68" s="321" t="s">
        <v>100</v>
      </c>
      <c r="D68" s="320">
        <v>3226</v>
      </c>
    </row>
    <row r="69" spans="1:4">
      <c r="A69" s="320">
        <v>451</v>
      </c>
      <c r="B69" s="320">
        <v>319846</v>
      </c>
      <c r="C69" s="321" t="s">
        <v>464</v>
      </c>
      <c r="D69" s="320">
        <v>2159</v>
      </c>
    </row>
    <row r="70" spans="1:4">
      <c r="A70" s="320">
        <v>119</v>
      </c>
      <c r="B70" s="320">
        <v>120127</v>
      </c>
      <c r="C70" s="321" t="s">
        <v>499</v>
      </c>
      <c r="D70" s="320">
        <v>19953</v>
      </c>
    </row>
    <row r="71" spans="1:4">
      <c r="A71" s="320">
        <v>1184</v>
      </c>
      <c r="B71" s="320">
        <v>7440382</v>
      </c>
      <c r="C71" s="321" t="s">
        <v>524</v>
      </c>
      <c r="D71" s="320">
        <v>316</v>
      </c>
    </row>
    <row r="72" spans="1:4">
      <c r="A72" s="320">
        <v>122</v>
      </c>
      <c r="B72" s="320">
        <v>56553</v>
      </c>
      <c r="C72" s="321" t="s">
        <v>500</v>
      </c>
      <c r="D72" s="320">
        <v>610942</v>
      </c>
    </row>
    <row r="73" spans="1:4">
      <c r="A73" s="320">
        <v>123</v>
      </c>
      <c r="B73" s="320">
        <v>50328</v>
      </c>
      <c r="C73" s="321" t="s">
        <v>501</v>
      </c>
      <c r="D73" s="320">
        <v>666807</v>
      </c>
    </row>
    <row r="74" spans="1:4">
      <c r="A74" s="320">
        <v>4653</v>
      </c>
      <c r="B74" s="320">
        <v>191242</v>
      </c>
      <c r="C74" s="321" t="s">
        <v>502</v>
      </c>
      <c r="D74" s="320">
        <v>2691535</v>
      </c>
    </row>
    <row r="75" spans="1:4">
      <c r="A75" s="320">
        <v>4692</v>
      </c>
      <c r="B75" s="320">
        <v>207089</v>
      </c>
      <c r="C75" s="321" t="s">
        <v>503</v>
      </c>
      <c r="D75" s="320">
        <v>1753881</v>
      </c>
    </row>
    <row r="76" spans="1:4">
      <c r="A76" s="320">
        <v>456</v>
      </c>
      <c r="B76" s="320">
        <v>319857</v>
      </c>
      <c r="C76" s="321" t="s">
        <v>466</v>
      </c>
      <c r="D76" s="320">
        <v>2344</v>
      </c>
    </row>
    <row r="77" spans="1:4">
      <c r="A77" s="320">
        <v>457</v>
      </c>
      <c r="B77" s="320">
        <v>57749</v>
      </c>
      <c r="C77" s="321" t="s">
        <v>470</v>
      </c>
      <c r="D77" s="320">
        <v>85114</v>
      </c>
    </row>
    <row r="78" spans="1:4">
      <c r="A78" s="320">
        <v>132</v>
      </c>
      <c r="B78" s="320">
        <v>218019</v>
      </c>
      <c r="C78" s="321" t="s">
        <v>504</v>
      </c>
      <c r="D78" s="320">
        <v>519996</v>
      </c>
    </row>
    <row r="79" spans="1:4">
      <c r="A79" s="320">
        <v>1492</v>
      </c>
      <c r="B79" s="320">
        <v>319868</v>
      </c>
      <c r="C79" s="321" t="s">
        <v>467</v>
      </c>
      <c r="D79" s="320">
        <v>1827</v>
      </c>
    </row>
    <row r="80" spans="1:4">
      <c r="A80" s="320">
        <v>452</v>
      </c>
      <c r="B80" s="320">
        <v>60571</v>
      </c>
      <c r="C80" s="321" t="s">
        <v>473</v>
      </c>
      <c r="D80" s="320">
        <v>12162</v>
      </c>
    </row>
    <row r="81" spans="1:4">
      <c r="A81" s="320">
        <v>464</v>
      </c>
      <c r="B81" s="320">
        <v>72208</v>
      </c>
      <c r="C81" s="321" t="s">
        <v>474</v>
      </c>
      <c r="D81" s="320">
        <v>13910</v>
      </c>
    </row>
    <row r="82" spans="1:4">
      <c r="A82" s="320">
        <v>104341</v>
      </c>
      <c r="B82" s="320">
        <v>6108107</v>
      </c>
      <c r="C82" s="321" t="s">
        <v>468</v>
      </c>
      <c r="D82" s="320">
        <v>1827</v>
      </c>
    </row>
    <row r="83" spans="1:4">
      <c r="A83" s="320">
        <v>159</v>
      </c>
      <c r="B83" s="320">
        <v>85018</v>
      </c>
      <c r="C83" s="321" t="s">
        <v>505</v>
      </c>
      <c r="D83" s="320">
        <v>16982</v>
      </c>
    </row>
    <row r="84" spans="1:4">
      <c r="A84" s="320">
        <v>140</v>
      </c>
      <c r="B84" s="320">
        <v>206440</v>
      </c>
      <c r="C84" s="321" t="s">
        <v>506</v>
      </c>
      <c r="D84" s="320">
        <v>151356</v>
      </c>
    </row>
    <row r="85" spans="1:4">
      <c r="A85" s="320">
        <v>453</v>
      </c>
      <c r="B85" s="320">
        <v>58899</v>
      </c>
      <c r="C85" s="321" t="s">
        <v>469</v>
      </c>
      <c r="D85" s="320">
        <v>977</v>
      </c>
    </row>
    <row r="86" spans="1:4">
      <c r="A86" s="320">
        <v>458</v>
      </c>
      <c r="B86" s="320">
        <v>76448</v>
      </c>
      <c r="C86" s="321" t="s">
        <v>477</v>
      </c>
      <c r="D86" s="320">
        <v>15136</v>
      </c>
    </row>
    <row r="87" spans="1:4">
      <c r="A87" s="320">
        <v>1717</v>
      </c>
      <c r="B87" s="320">
        <v>1024573</v>
      </c>
      <c r="C87" s="321" t="s">
        <v>478</v>
      </c>
      <c r="D87" s="320">
        <v>9120</v>
      </c>
    </row>
    <row r="88" spans="1:4">
      <c r="A88" s="320">
        <v>478</v>
      </c>
      <c r="B88" s="320">
        <v>87683</v>
      </c>
      <c r="C88" s="321" t="s">
        <v>517</v>
      </c>
      <c r="D88" s="320">
        <v>2300</v>
      </c>
    </row>
    <row r="89" spans="1:4">
      <c r="A89" s="320">
        <v>141</v>
      </c>
      <c r="B89" s="320">
        <v>118741</v>
      </c>
      <c r="C89" s="321" t="s">
        <v>471</v>
      </c>
      <c r="D89" s="320">
        <v>9462</v>
      </c>
    </row>
    <row r="90" spans="1:4">
      <c r="A90" s="320">
        <v>104342</v>
      </c>
      <c r="B90" s="320">
        <v>193395</v>
      </c>
      <c r="C90" s="321" t="s">
        <v>507</v>
      </c>
      <c r="D90" s="320">
        <v>1047129</v>
      </c>
    </row>
    <row r="91" spans="1:4">
      <c r="A91" s="320">
        <v>2868</v>
      </c>
      <c r="B91" s="320">
        <v>465736</v>
      </c>
      <c r="C91" s="321" t="s">
        <v>475</v>
      </c>
      <c r="D91" s="320">
        <v>105633</v>
      </c>
    </row>
    <row r="92" spans="1:4">
      <c r="A92" s="320">
        <v>1258</v>
      </c>
      <c r="B92" s="320">
        <v>7439976</v>
      </c>
      <c r="C92" s="321" t="s">
        <v>525</v>
      </c>
      <c r="D92" s="320">
        <v>3162</v>
      </c>
    </row>
    <row r="93" spans="1:4">
      <c r="A93" s="320">
        <v>19</v>
      </c>
      <c r="B93" s="320">
        <v>91203</v>
      </c>
      <c r="C93" s="321" t="s">
        <v>508</v>
      </c>
      <c r="D93" s="320">
        <v>2239</v>
      </c>
    </row>
    <row r="94" spans="1:4">
      <c r="A94" s="320">
        <v>104340</v>
      </c>
      <c r="B94" s="320">
        <v>53190</v>
      </c>
      <c r="C94" s="321" t="s">
        <v>479</v>
      </c>
      <c r="D94" s="320">
        <v>870964</v>
      </c>
    </row>
    <row r="95" spans="1:4">
      <c r="A95" s="320">
        <v>104343</v>
      </c>
      <c r="B95" s="320">
        <v>3424826</v>
      </c>
      <c r="C95" s="321" t="s">
        <v>480</v>
      </c>
      <c r="D95" s="320">
        <v>171396</v>
      </c>
    </row>
    <row r="96" spans="1:4">
      <c r="A96" s="320">
        <v>5781</v>
      </c>
      <c r="B96" s="320">
        <v>789026</v>
      </c>
      <c r="C96" s="321" t="s">
        <v>482</v>
      </c>
      <c r="D96" s="320">
        <v>389045</v>
      </c>
    </row>
    <row r="97" spans="1:4">
      <c r="A97" s="320">
        <v>542</v>
      </c>
      <c r="B97" s="320">
        <v>72548</v>
      </c>
      <c r="C97" s="321" t="s">
        <v>483</v>
      </c>
      <c r="D97" s="320">
        <v>870964</v>
      </c>
    </row>
    <row r="98" spans="1:4">
      <c r="A98" s="320">
        <v>543</v>
      </c>
      <c r="B98" s="320">
        <v>72559</v>
      </c>
      <c r="C98" s="321" t="s">
        <v>484</v>
      </c>
      <c r="D98" s="320">
        <v>171396</v>
      </c>
    </row>
    <row r="99" spans="1:4">
      <c r="A99" s="320">
        <v>541</v>
      </c>
      <c r="B99" s="320">
        <v>50293</v>
      </c>
      <c r="C99" s="321" t="s">
        <v>485</v>
      </c>
      <c r="D99" s="320">
        <v>389045</v>
      </c>
    </row>
    <row r="100" spans="1:4">
      <c r="A100" s="320">
        <v>1688</v>
      </c>
      <c r="B100" s="320">
        <v>37680732</v>
      </c>
      <c r="C100" s="321" t="s">
        <v>512</v>
      </c>
      <c r="D100" s="320">
        <v>380189</v>
      </c>
    </row>
    <row r="101" spans="1:4">
      <c r="A101" s="320">
        <v>8116</v>
      </c>
      <c r="B101" s="320">
        <v>31508006</v>
      </c>
      <c r="C101" s="321" t="s">
        <v>513</v>
      </c>
      <c r="D101" s="320">
        <v>56234</v>
      </c>
    </row>
    <row r="102" spans="1:4">
      <c r="A102" s="320">
        <v>8201</v>
      </c>
      <c r="B102" s="320">
        <v>35065282</v>
      </c>
      <c r="C102" s="321" t="s">
        <v>514</v>
      </c>
      <c r="D102" s="320">
        <v>512861</v>
      </c>
    </row>
    <row r="103" spans="1:4">
      <c r="A103" s="320">
        <v>1687</v>
      </c>
      <c r="B103" s="320">
        <v>35065271</v>
      </c>
      <c r="C103" s="321" t="s">
        <v>515</v>
      </c>
      <c r="D103" s="320">
        <v>457088</v>
      </c>
    </row>
    <row r="104" spans="1:4">
      <c r="A104" s="320">
        <v>104344</v>
      </c>
      <c r="B104" s="320">
        <v>35065293</v>
      </c>
      <c r="C104" s="321" t="s">
        <v>516</v>
      </c>
      <c r="D104" s="320">
        <v>977237</v>
      </c>
    </row>
    <row r="105" spans="1:4">
      <c r="A105" s="320">
        <v>1746</v>
      </c>
      <c r="B105" s="320">
        <v>7012375</v>
      </c>
      <c r="C105" s="321" t="s">
        <v>509</v>
      </c>
      <c r="D105" s="320">
        <v>41687</v>
      </c>
    </row>
    <row r="106" spans="1:4">
      <c r="A106" s="320">
        <v>1689</v>
      </c>
      <c r="B106" s="320">
        <v>35693993</v>
      </c>
      <c r="C106" s="321" t="s">
        <v>511</v>
      </c>
      <c r="D106" s="320">
        <v>51286</v>
      </c>
    </row>
    <row r="107" spans="1:4">
      <c r="A107" s="320">
        <v>276</v>
      </c>
      <c r="B107" s="320">
        <v>87865</v>
      </c>
      <c r="C107" s="321" t="s">
        <v>497</v>
      </c>
      <c r="D107" s="320">
        <v>2399</v>
      </c>
    </row>
    <row r="108" spans="1:4">
      <c r="A108" s="320">
        <v>465</v>
      </c>
      <c r="B108" s="320">
        <v>297789</v>
      </c>
      <c r="C108" s="321" t="s">
        <v>476</v>
      </c>
      <c r="D108" s="320">
        <v>4715</v>
      </c>
    </row>
    <row r="109" spans="1:4">
      <c r="C109" s="368" t="s">
        <v>617</v>
      </c>
      <c r="D109" s="369">
        <v>8318</v>
      </c>
    </row>
  </sheetData>
  <mergeCells count="4">
    <mergeCell ref="B4:B5"/>
    <mergeCell ref="C4:C5"/>
    <mergeCell ref="D4:D5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A16" workbookViewId="0">
      <selection activeCell="G3" sqref="G3"/>
    </sheetView>
  </sheetViews>
  <sheetFormatPr defaultRowHeight="12.75"/>
  <cols>
    <col min="1" max="1" width="20.5703125" style="8" customWidth="1"/>
    <col min="2" max="2" width="9.140625" style="8"/>
    <col min="3" max="3" width="12.42578125" style="8" bestFit="1" customWidth="1"/>
    <col min="4" max="4" width="12.7109375" style="8" bestFit="1" customWidth="1"/>
    <col min="5" max="5" width="12.42578125" style="8" customWidth="1"/>
    <col min="6" max="6" width="11.42578125" style="8" customWidth="1"/>
    <col min="7" max="7" width="14.28515625" style="8" customWidth="1"/>
    <col min="8" max="10" width="12.42578125" style="8" bestFit="1" customWidth="1"/>
    <col min="11" max="16" width="9.42578125" style="8" customWidth="1"/>
    <col min="17" max="17" width="2.85546875" style="324" customWidth="1"/>
    <col min="18" max="18" width="3.85546875" style="8" customWidth="1"/>
    <col min="19" max="19" width="15.7109375" style="8" customWidth="1"/>
    <col min="20" max="20" width="12.85546875" style="8" customWidth="1"/>
    <col min="21" max="21" width="10.7109375" style="294" bestFit="1" customWidth="1"/>
    <col min="22" max="24" width="9.140625" style="294"/>
    <col min="25" max="16384" width="9.140625" style="8"/>
  </cols>
  <sheetData>
    <row r="1" spans="1:25" ht="13.5" thickBot="1">
      <c r="A1" s="322" t="s">
        <v>526</v>
      </c>
      <c r="B1" s="322"/>
      <c r="C1" s="322"/>
      <c r="D1" s="322"/>
      <c r="E1" s="322"/>
      <c r="F1" s="322"/>
      <c r="G1" s="323" t="s">
        <v>527</v>
      </c>
      <c r="S1" s="8" t="s">
        <v>528</v>
      </c>
    </row>
    <row r="2" spans="1:25" ht="13.5" thickBot="1">
      <c r="B2" s="8" t="s">
        <v>529</v>
      </c>
      <c r="C2" s="296" t="s">
        <v>199</v>
      </c>
      <c r="D2" s="296" t="s">
        <v>200</v>
      </c>
      <c r="E2" s="296" t="s">
        <v>201</v>
      </c>
      <c r="F2" s="296" t="s">
        <v>202</v>
      </c>
      <c r="G2" s="296" t="s">
        <v>203</v>
      </c>
      <c r="H2" s="296" t="s">
        <v>204</v>
      </c>
      <c r="I2" s="296" t="s">
        <v>205</v>
      </c>
      <c r="J2" s="296" t="s">
        <v>206</v>
      </c>
      <c r="K2" s="296" t="s">
        <v>251</v>
      </c>
      <c r="L2" s="296" t="s">
        <v>332</v>
      </c>
      <c r="M2" s="296" t="s">
        <v>613</v>
      </c>
      <c r="N2" s="296" t="s">
        <v>351</v>
      </c>
      <c r="O2" s="296" t="s">
        <v>530</v>
      </c>
      <c r="P2" s="296" t="s">
        <v>614</v>
      </c>
      <c r="U2" s="294" t="s">
        <v>530</v>
      </c>
      <c r="V2" s="294" t="s">
        <v>200</v>
      </c>
      <c r="W2" s="294" t="s">
        <v>251</v>
      </c>
      <c r="X2" s="325" t="s">
        <v>531</v>
      </c>
      <c r="Y2" s="325" t="s">
        <v>332</v>
      </c>
    </row>
    <row r="3" spans="1:25" ht="13.5" thickBot="1">
      <c r="A3" s="8" t="s">
        <v>532</v>
      </c>
      <c r="C3" s="364">
        <f>IF('analyse import'!L22&gt;0,'analyse import'!L22,0.0001)</f>
        <v>1E-4</v>
      </c>
      <c r="D3" s="364">
        <f>IF('analyse import'!L24&gt;0,'analyse import'!L24,0.00001)</f>
        <v>1.0000000000000001E-5</v>
      </c>
      <c r="E3" s="364">
        <f>IF('analyse import'!L25&gt;0,'analyse import'!L25,0.0001)</f>
        <v>1E-4</v>
      </c>
      <c r="F3" s="364">
        <f>IF('analyse import'!L27&gt;0,'analyse import'!L27,0.0001)</f>
        <v>1E-4</v>
      </c>
      <c r="G3" s="364">
        <f>IF('analyse import'!L28&gt;0,'analyse import'!L28,0.000001)</f>
        <v>9.9999999999999995E-7</v>
      </c>
      <c r="H3" s="364">
        <f>IF('analyse import'!L31&gt;0,'analyse import'!L31,0.0001)</f>
        <v>1E-4</v>
      </c>
      <c r="I3" s="364">
        <f>IF('analyse import'!L29&gt;0,'analyse import'!L29,0.0001)</f>
        <v>1E-4</v>
      </c>
      <c r="J3" s="364">
        <f>IF('analyse import'!L34&gt;0,'analyse import'!L34,0.0001)</f>
        <v>1E-4</v>
      </c>
      <c r="K3" s="365">
        <f>'analyse import'!L30</f>
        <v>0</v>
      </c>
      <c r="L3" s="366">
        <f>'analyse import'!L26</f>
        <v>0</v>
      </c>
      <c r="M3" s="366">
        <f>'analyse import'!L32</f>
        <v>0</v>
      </c>
      <c r="N3" s="366">
        <f>'analyse import'!L21</f>
        <v>0</v>
      </c>
      <c r="O3" s="366">
        <f>'analyse import'!L23</f>
        <v>0</v>
      </c>
      <c r="P3" s="367">
        <f>'analyse import'!L33</f>
        <v>0</v>
      </c>
      <c r="S3" s="8" t="s">
        <v>533</v>
      </c>
      <c r="U3" s="326">
        <f>IF('[1]Besluit bodemkwaliteit'!$F35="",0.001,'[1]Besluit bodemkwaliteit'!$F35)</f>
        <v>1E-3</v>
      </c>
      <c r="V3" s="326">
        <f>IF('[1]Besluit bodemkwaliteit'!$F36="",0.001,'[1]Besluit bodemkwaliteit'!$F36)</f>
        <v>1E-3</v>
      </c>
      <c r="W3" s="326">
        <f>IF('[1]Besluit bodemkwaliteit'!$F42="",0.001,'[1]Besluit bodemkwaliteit'!$F42)</f>
        <v>1E-3</v>
      </c>
      <c r="X3" s="326">
        <f>IF('[1]Besluit bodemkwaliteit'!$F200="",0.001,'[1]Besluit bodemkwaliteit'!$F200)</f>
        <v>1E-3</v>
      </c>
      <c r="Y3" s="326">
        <f>IF('[1]Besluit bodemkwaliteit'!$F38="",0.001,'[1]Besluit bodemkwaliteit'!$F38)</f>
        <v>1E-3</v>
      </c>
    </row>
    <row r="4" spans="1:25">
      <c r="A4" s="8" t="s">
        <v>534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S4" s="8" t="s">
        <v>535</v>
      </c>
      <c r="U4" s="294">
        <v>920</v>
      </c>
      <c r="V4" s="294">
        <v>7.5</v>
      </c>
      <c r="W4" s="294">
        <v>190</v>
      </c>
      <c r="X4" s="294">
        <v>3000</v>
      </c>
      <c r="Y4" s="294">
        <v>190</v>
      </c>
    </row>
    <row r="5" spans="1:25">
      <c r="A5" s="8" t="s">
        <v>65</v>
      </c>
      <c r="D5" s="328">
        <v>-8.8999999999999996E-2</v>
      </c>
      <c r="E5" s="328"/>
      <c r="F5" s="328">
        <v>-0.33100000000000002</v>
      </c>
      <c r="G5" s="328"/>
      <c r="H5" s="8">
        <v>-1.006</v>
      </c>
      <c r="I5" s="8">
        <v>-0.26300000000000001</v>
      </c>
      <c r="J5" s="328">
        <v>-0.70299999999999996</v>
      </c>
      <c r="K5" s="328"/>
      <c r="L5" s="328"/>
      <c r="M5" s="328"/>
      <c r="N5" s="328"/>
      <c r="O5" s="328"/>
      <c r="P5" s="328"/>
      <c r="U5" s="294">
        <f>IF(U4-U3&gt;0,0,1)</f>
        <v>0</v>
      </c>
      <c r="V5" s="294">
        <f>IF(V3&gt;V4,1,0)</f>
        <v>0</v>
      </c>
      <c r="W5" s="294">
        <f>IF(W3&gt;W4,1,0)</f>
        <v>0</v>
      </c>
      <c r="X5" s="294">
        <f>IF(X3&gt;X4,1,0)</f>
        <v>0</v>
      </c>
      <c r="Y5" s="294">
        <f>IF(Y3&gt;Y4,1,0)</f>
        <v>0</v>
      </c>
    </row>
    <row r="6" spans="1:25">
      <c r="A6" s="8" t="s">
        <v>67</v>
      </c>
      <c r="D6" s="328">
        <v>2.1999999999999999E-2</v>
      </c>
      <c r="E6" s="328"/>
      <c r="F6" s="328">
        <v>2.3E-2</v>
      </c>
      <c r="G6" s="328"/>
      <c r="H6" s="8">
        <v>0.60599999999999998</v>
      </c>
      <c r="I6" s="8">
        <v>3.1E-2</v>
      </c>
      <c r="J6" s="328">
        <v>0.183</v>
      </c>
      <c r="K6" s="328"/>
      <c r="L6" s="328"/>
      <c r="M6" s="328"/>
      <c r="N6" s="328"/>
      <c r="O6" s="328"/>
      <c r="P6" s="328"/>
    </row>
    <row r="7" spans="1:25">
      <c r="A7" s="8" t="s">
        <v>72</v>
      </c>
      <c r="D7" s="328">
        <v>-6.2E-2</v>
      </c>
      <c r="E7" s="328"/>
      <c r="F7" s="328">
        <v>-0.17100000000000001</v>
      </c>
      <c r="G7" s="328"/>
      <c r="H7" s="8">
        <v>9.0999999999999998E-2</v>
      </c>
      <c r="I7" s="8">
        <v>-0.112</v>
      </c>
      <c r="J7" s="328">
        <v>-0.29799999999999999</v>
      </c>
      <c r="K7" s="328"/>
      <c r="L7" s="328"/>
      <c r="M7" s="328"/>
      <c r="N7" s="328"/>
      <c r="O7" s="328"/>
      <c r="P7" s="328"/>
      <c r="S7" s="8" t="s">
        <v>536</v>
      </c>
      <c r="U7" s="294">
        <f>IF(U5+V5+W5+Y5&gt;0,100,0)</f>
        <v>0</v>
      </c>
      <c r="V7" s="46" t="s">
        <v>537</v>
      </c>
    </row>
    <row r="8" spans="1:25" ht="13.5" thickBot="1">
      <c r="A8" s="329" t="s">
        <v>76</v>
      </c>
      <c r="D8" s="328">
        <v>1.075</v>
      </c>
      <c r="E8" s="328"/>
      <c r="F8" s="328">
        <v>1.1519999999999999</v>
      </c>
      <c r="G8" s="328"/>
      <c r="H8" s="8">
        <v>0.74199999999999999</v>
      </c>
      <c r="I8" s="8">
        <v>1.089</v>
      </c>
      <c r="J8" s="328">
        <v>1.2350000000000001</v>
      </c>
      <c r="K8" s="328"/>
      <c r="L8" s="328"/>
      <c r="M8" s="328"/>
      <c r="N8" s="328"/>
      <c r="O8" s="328"/>
      <c r="P8" s="328"/>
      <c r="U8" s="294">
        <f>IF(X5&gt;0,100,0)</f>
        <v>0</v>
      </c>
      <c r="V8" s="294" t="s">
        <v>538</v>
      </c>
    </row>
    <row r="9" spans="1:25" ht="13.5" thickBot="1">
      <c r="A9" s="8" t="s">
        <v>539</v>
      </c>
      <c r="B9" s="330">
        <f ca="1">IF(AVERAGE(omrekenen!H3:I3)=0,0.5,AVERAGE(omrekenen!H3:I3))</f>
        <v>2</v>
      </c>
      <c r="D9" s="328"/>
      <c r="E9" s="328"/>
    </row>
    <row r="10" spans="1:25" ht="13.5" thickBot="1">
      <c r="A10" s="8" t="s">
        <v>540</v>
      </c>
      <c r="B10" s="330">
        <f ca="1">AVERAGE(omrekenen!H2:I2)</f>
        <v>2</v>
      </c>
    </row>
    <row r="11" spans="1:25">
      <c r="A11" s="8" t="s">
        <v>541</v>
      </c>
      <c r="D11" s="8">
        <f ca="1">+D5+D6*LOG($B$9)+D7*LOG($B$10)+D8*LOG(D3)</f>
        <v>-5.4760411998265592</v>
      </c>
      <c r="F11" s="8">
        <f ca="1">+F5+F6*LOG($B$9)+F7*LOG($B$10)+F8*LOG(F3)</f>
        <v>-4.9835524393582684</v>
      </c>
      <c r="H11" s="8">
        <f ca="1">+H5+H6*LOG($B$9)+H7*LOG($B$10)+H8*LOG(H3)</f>
        <v>-3.764182093022205</v>
      </c>
      <c r="I11" s="8">
        <f ca="1">+I5+I6*LOG($B$9)+I7*LOG($B$10)+I8*LOG(I3)</f>
        <v>-4.6433834296487824</v>
      </c>
      <c r="J11" s="8">
        <f ca="1">+J5+J6*LOG($B$9)+J7*LOG($B$10)+J8*LOG(J3)</f>
        <v>-5.6776184495013577</v>
      </c>
    </row>
    <row r="12" spans="1:25">
      <c r="A12" s="8" t="s">
        <v>542</v>
      </c>
      <c r="D12" s="8">
        <f ca="1">10^(D11)</f>
        <v>3.3416333774762483E-6</v>
      </c>
      <c r="F12" s="8">
        <f ca="1">10^(F11)</f>
        <v>1.0385981881864016E-5</v>
      </c>
      <c r="H12" s="8">
        <f ca="1">10^(H11)</f>
        <v>1.7211467732049666E-4</v>
      </c>
      <c r="I12" s="8">
        <f ca="1">10^(I11)</f>
        <v>2.2730896805632974E-5</v>
      </c>
      <c r="J12" s="8">
        <f ca="1">10^(J11)</f>
        <v>2.1007847227608229E-6</v>
      </c>
    </row>
    <row r="13" spans="1:25">
      <c r="A13" s="8" t="s">
        <v>543</v>
      </c>
      <c r="D13" s="8">
        <v>112.4</v>
      </c>
      <c r="F13" s="8">
        <v>63.5</v>
      </c>
      <c r="H13" s="8">
        <v>58.7</v>
      </c>
      <c r="I13" s="8">
        <v>207.2</v>
      </c>
      <c r="J13" s="8">
        <v>65.400000000000006</v>
      </c>
    </row>
    <row r="14" spans="1:25">
      <c r="A14" s="8" t="s">
        <v>544</v>
      </c>
      <c r="D14" s="8">
        <f ca="1">D12/(D13*1000)</f>
        <v>2.9729834319183703E-11</v>
      </c>
      <c r="F14" s="8">
        <f ca="1">F12/(F13*1000)</f>
        <v>1.635587697931341E-10</v>
      </c>
      <c r="H14" s="8">
        <f ca="1">H12/(H13*1000)</f>
        <v>2.9321069390203859E-9</v>
      </c>
      <c r="I14" s="8">
        <f ca="1">I12/(I13*1000)</f>
        <v>1.0970510041328655E-10</v>
      </c>
      <c r="J14" s="8">
        <f ca="1">J12/(J13*1000)</f>
        <v>3.2122090562092089E-11</v>
      </c>
    </row>
    <row r="15" spans="1:25">
      <c r="A15" s="8" t="s">
        <v>86</v>
      </c>
      <c r="D15" s="328">
        <v>-4.8499999999999996</v>
      </c>
      <c r="E15" s="328">
        <v>1.73</v>
      </c>
      <c r="F15" s="328">
        <v>-3.55</v>
      </c>
      <c r="G15" s="328"/>
      <c r="H15" s="8">
        <v>-5.05</v>
      </c>
      <c r="I15" s="8">
        <v>-2.96</v>
      </c>
      <c r="J15" s="328">
        <v>-4.51</v>
      </c>
      <c r="K15" s="328"/>
      <c r="L15" s="328"/>
      <c r="M15" s="328"/>
      <c r="N15" s="328"/>
      <c r="O15" s="328"/>
      <c r="P15" s="328"/>
    </row>
    <row r="16" spans="1:25">
      <c r="A16" s="8" t="s">
        <v>545</v>
      </c>
      <c r="D16" s="328">
        <v>0.27</v>
      </c>
      <c r="E16" s="328">
        <v>0.36</v>
      </c>
      <c r="F16" s="328">
        <v>0.16</v>
      </c>
      <c r="G16" s="328"/>
      <c r="H16" s="8">
        <v>0.31</v>
      </c>
      <c r="I16" s="8">
        <v>0.25</v>
      </c>
      <c r="J16" s="328">
        <v>0.45</v>
      </c>
      <c r="K16" s="328"/>
      <c r="L16" s="328"/>
      <c r="M16" s="328"/>
      <c r="N16" s="328"/>
      <c r="O16" s="328"/>
      <c r="P16" s="328"/>
    </row>
    <row r="17" spans="1:16">
      <c r="A17" s="8" t="s">
        <v>546</v>
      </c>
      <c r="D17" s="328">
        <v>0.57999999999999996</v>
      </c>
      <c r="E17" s="328">
        <v>0</v>
      </c>
      <c r="F17" s="328">
        <v>0.48</v>
      </c>
      <c r="G17" s="328"/>
      <c r="H17" s="8">
        <v>0.65</v>
      </c>
      <c r="I17" s="8">
        <v>0.83</v>
      </c>
      <c r="J17" s="328">
        <v>0.39</v>
      </c>
      <c r="K17" s="328"/>
      <c r="L17" s="328"/>
      <c r="M17" s="328"/>
      <c r="N17" s="328"/>
      <c r="O17" s="328"/>
      <c r="P17" s="328"/>
    </row>
    <row r="18" spans="1:16">
      <c r="A18" s="329" t="s">
        <v>547</v>
      </c>
      <c r="D18" s="328">
        <v>0.28000000000000003</v>
      </c>
      <c r="E18" s="328">
        <v>0</v>
      </c>
      <c r="F18" s="328">
        <v>0.18</v>
      </c>
      <c r="G18" s="328"/>
      <c r="H18" s="8">
        <v>0.39</v>
      </c>
      <c r="I18" s="8">
        <v>0.02</v>
      </c>
      <c r="J18" s="328">
        <v>0.35</v>
      </c>
      <c r="K18" s="328"/>
      <c r="L18" s="328"/>
      <c r="M18" s="328"/>
      <c r="N18" s="328"/>
      <c r="O18" s="328"/>
      <c r="P18" s="328"/>
    </row>
    <row r="19" spans="1:16">
      <c r="A19" s="8" t="s">
        <v>207</v>
      </c>
      <c r="D19" s="328">
        <v>0.54</v>
      </c>
      <c r="E19" s="328">
        <v>1</v>
      </c>
      <c r="F19" s="328">
        <v>0.47</v>
      </c>
      <c r="G19" s="328"/>
      <c r="H19" s="8">
        <v>0.51</v>
      </c>
      <c r="I19" s="8">
        <v>0.68</v>
      </c>
      <c r="J19" s="328">
        <v>0.74</v>
      </c>
      <c r="K19" s="328"/>
      <c r="L19" s="328"/>
      <c r="M19" s="328"/>
      <c r="N19" s="328"/>
      <c r="O19" s="328"/>
      <c r="P19" s="328"/>
    </row>
    <row r="20" spans="1:16">
      <c r="A20" s="8" t="s">
        <v>208</v>
      </c>
      <c r="B20" s="8">
        <v>5.5</v>
      </c>
    </row>
    <row r="21" spans="1:16">
      <c r="A21" s="8" t="s">
        <v>548</v>
      </c>
      <c r="D21" s="8">
        <f ca="1">+D15+D16*$B$20+D17*LOG($B$9)+D18*LOG($B$10)</f>
        <v>-3.1061142037289753</v>
      </c>
      <c r="F21" s="8">
        <f ca="1">+F15+F16*$B$20+F17*LOG($B$9)+F18*LOG($B$10)</f>
        <v>-2.4713202028617727</v>
      </c>
      <c r="H21" s="8">
        <f ca="1">+H15+H16*$B$20+H17*LOG($B$9)+H18*LOG($B$10)</f>
        <v>-3.0319288045094592</v>
      </c>
      <c r="I21" s="8">
        <f ca="1">+I15+I16*$B$20+I17*LOG($B$9)+I18*LOG($B$10)</f>
        <v>-1.3291245036856159</v>
      </c>
      <c r="J21" s="8">
        <f ca="1">+J15+J16*$B$20+J17*LOG($B$9)+J18*LOG($B$10)</f>
        <v>-1.8122378032086535</v>
      </c>
    </row>
    <row r="22" spans="1:16">
      <c r="A22" s="8" t="s">
        <v>549</v>
      </c>
      <c r="D22" s="8">
        <f ca="1">10^(D21)</f>
        <v>7.8322365621194979E-4</v>
      </c>
      <c r="F22" s="8">
        <f ca="1">10^(F21)</f>
        <v>3.3781567478090167E-3</v>
      </c>
      <c r="H22" s="8">
        <f ca="1">10^(H21)</f>
        <v>9.2911868813718465E-4</v>
      </c>
      <c r="I22" s="8">
        <f ca="1">10^(I21)</f>
        <v>4.6867900183293516E-2</v>
      </c>
      <c r="J22" s="8">
        <f ca="1">10^(J21)</f>
        <v>1.5408565072534667E-2</v>
      </c>
    </row>
    <row r="23" spans="1:16">
      <c r="A23" s="8" t="s">
        <v>550</v>
      </c>
      <c r="C23" s="8">
        <v>316</v>
      </c>
      <c r="E23" s="8">
        <f ca="1">10^(E15+E16*$B$20+E17*LOG($B$9)+E18*LOG($B$10))</f>
        <v>5128.6138399136489</v>
      </c>
      <c r="G23" s="8">
        <f>10^3.5</f>
        <v>3162.2776601683804</v>
      </c>
      <c r="K23" s="8">
        <v>40</v>
      </c>
      <c r="L23" s="8">
        <v>120</v>
      </c>
      <c r="M23" s="8">
        <v>1905</v>
      </c>
      <c r="N23" s="8">
        <v>85</v>
      </c>
      <c r="O23" s="8">
        <v>2500</v>
      </c>
      <c r="P23" s="8">
        <v>309</v>
      </c>
    </row>
    <row r="24" spans="1:16">
      <c r="A24" s="8" t="s">
        <v>551</v>
      </c>
      <c r="D24" s="8">
        <f ca="1">(D14/D22)^(1/D19)</f>
        <v>1.8112373145267767E-14</v>
      </c>
      <c r="F24" s="8">
        <f ca="1">(F14/F22)^(1/F19)</f>
        <v>2.7299678222952709E-16</v>
      </c>
      <c r="H24" s="8">
        <f ca="1">(H14/H22)^(1/H19)</f>
        <v>1.6365845669617495E-11</v>
      </c>
      <c r="I24" s="8">
        <f ca="1">(I14/I22)^(1/I19)</f>
        <v>2.0317468382763301E-13</v>
      </c>
      <c r="J24" s="8">
        <f ca="1">(J14/J22)^(1/J19)</f>
        <v>1.8576981235062978E-12</v>
      </c>
    </row>
    <row r="25" spans="1:16">
      <c r="A25" s="8" t="s">
        <v>552</v>
      </c>
      <c r="C25" s="8">
        <f>+C3/C23</f>
        <v>3.1645569620253169E-7</v>
      </c>
      <c r="D25" s="8">
        <f ca="1">D24*D13</f>
        <v>2.0358307415280972E-12</v>
      </c>
      <c r="E25" s="8">
        <f ca="1">+E3/E23</f>
        <v>1.9498445997580454E-8</v>
      </c>
      <c r="F25" s="8">
        <f ca="1">F24*F13</f>
        <v>1.7335295671574972E-14</v>
      </c>
      <c r="G25" s="8">
        <f>+G3/G23</f>
        <v>3.162277660168378E-10</v>
      </c>
      <c r="H25" s="8">
        <f ca="1">H24*H13</f>
        <v>9.606751408065469E-10</v>
      </c>
      <c r="I25" s="8">
        <f ca="1">I24*I13</f>
        <v>4.2097794489085557E-11</v>
      </c>
      <c r="J25" s="8">
        <f ca="1">J24*J13</f>
        <v>1.214934572773119E-10</v>
      </c>
      <c r="K25" s="8">
        <f t="shared" ref="K25:P25" si="0">+K3/K23</f>
        <v>0</v>
      </c>
      <c r="L25" s="8">
        <f t="shared" si="0"/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</row>
    <row r="27" spans="1:16">
      <c r="A27" s="8" t="s">
        <v>553</v>
      </c>
    </row>
    <row r="28" spans="1:16">
      <c r="A28" s="8" t="s">
        <v>554</v>
      </c>
      <c r="C28" s="8">
        <v>20</v>
      </c>
      <c r="D28" s="8">
        <v>0.6</v>
      </c>
      <c r="E28" s="8">
        <v>55</v>
      </c>
      <c r="F28" s="8">
        <v>40</v>
      </c>
      <c r="G28" s="8">
        <v>0.15</v>
      </c>
      <c r="H28" s="8">
        <v>35</v>
      </c>
      <c r="I28" s="8">
        <v>50</v>
      </c>
      <c r="J28" s="8">
        <v>140</v>
      </c>
      <c r="K28" s="8">
        <v>1.5</v>
      </c>
      <c r="L28" s="8">
        <v>15</v>
      </c>
      <c r="M28" s="8">
        <v>6.5</v>
      </c>
      <c r="N28" s="8">
        <v>4</v>
      </c>
      <c r="O28" s="8">
        <v>190</v>
      </c>
      <c r="P28" s="8">
        <v>80</v>
      </c>
    </row>
    <row r="29" spans="1:16">
      <c r="A29" s="8" t="s">
        <v>555</v>
      </c>
      <c r="C29" s="8">
        <f>IF(C3&gt;0,(C25/C3)*C28,C25/0.0001*C28)</f>
        <v>6.3291139240506333E-2</v>
      </c>
      <c r="D29" s="8">
        <f ca="1">IF(D3&gt;0,(D25/D3)*D28,D25/0.0001*D28)</f>
        <v>1.2214984449168583E-7</v>
      </c>
      <c r="E29" s="8">
        <f t="shared" ref="E29:P29" ca="1" si="1">IF(E3&gt;0,(E25/E3)*E28,E25/0.0001*E28)</f>
        <v>1.072414529866925E-2</v>
      </c>
      <c r="F29" s="8">
        <f t="shared" ca="1" si="1"/>
        <v>6.9341182686299883E-9</v>
      </c>
      <c r="G29" s="8">
        <f t="shared" si="1"/>
        <v>4.7434164902525676E-5</v>
      </c>
      <c r="H29" s="8">
        <f t="shared" ca="1" si="1"/>
        <v>3.362362992822914E-4</v>
      </c>
      <c r="I29" s="8">
        <f t="shared" ca="1" si="1"/>
        <v>2.1048897244542775E-5</v>
      </c>
      <c r="J29" s="8">
        <f t="shared" ca="1" si="1"/>
        <v>1.7009084018823666E-4</v>
      </c>
      <c r="K29" s="8">
        <f t="shared" si="1"/>
        <v>0</v>
      </c>
      <c r="L29" s="8">
        <f t="shared" si="1"/>
        <v>0</v>
      </c>
      <c r="M29" s="8">
        <f t="shared" si="1"/>
        <v>0</v>
      </c>
      <c r="N29" s="8">
        <f t="shared" si="1"/>
        <v>0</v>
      </c>
      <c r="O29" s="8">
        <f t="shared" si="1"/>
        <v>0</v>
      </c>
      <c r="P29" s="8">
        <f t="shared" si="1"/>
        <v>0</v>
      </c>
    </row>
    <row r="30" spans="1:16">
      <c r="A30" s="8" t="s">
        <v>556</v>
      </c>
      <c r="C30" s="8">
        <f t="shared" ref="C30:P30" si="2">+C25-C29</f>
        <v>-6.329082278481013E-2</v>
      </c>
      <c r="D30" s="8">
        <f t="shared" ca="1" si="2"/>
        <v>-1.2214780866094429E-7</v>
      </c>
      <c r="E30" s="8">
        <f t="shared" ca="1" si="2"/>
        <v>-1.0724125800223252E-2</v>
      </c>
      <c r="F30" s="8">
        <f t="shared" ca="1" si="2"/>
        <v>-6.9341009333343167E-9</v>
      </c>
      <c r="G30" s="8">
        <f t="shared" si="2"/>
        <v>-4.7433848674759657E-5</v>
      </c>
      <c r="H30" s="8">
        <f t="shared" ca="1" si="2"/>
        <v>-3.3623533860715061E-4</v>
      </c>
      <c r="I30" s="8">
        <f t="shared" ca="1" si="2"/>
        <v>-2.1048855146748287E-5</v>
      </c>
      <c r="J30" s="8">
        <f t="shared" ca="1" si="2"/>
        <v>-1.7009071869477938E-4</v>
      </c>
      <c r="K30" s="8">
        <f t="shared" si="2"/>
        <v>0</v>
      </c>
      <c r="L30" s="8">
        <f t="shared" si="2"/>
        <v>0</v>
      </c>
      <c r="M30" s="8">
        <f t="shared" si="2"/>
        <v>0</v>
      </c>
      <c r="N30" s="8">
        <f t="shared" si="2"/>
        <v>0</v>
      </c>
      <c r="O30" s="8">
        <f t="shared" si="2"/>
        <v>0</v>
      </c>
      <c r="P30" s="8">
        <f t="shared" si="2"/>
        <v>0</v>
      </c>
    </row>
    <row r="32" spans="1:16">
      <c r="A32" s="8" t="s">
        <v>557</v>
      </c>
    </row>
    <row r="33" spans="1:24">
      <c r="A33" s="8" t="s">
        <v>558</v>
      </c>
      <c r="C33" s="8">
        <v>1</v>
      </c>
      <c r="D33" s="8">
        <v>0.26</v>
      </c>
      <c r="E33" s="8">
        <v>1</v>
      </c>
      <c r="F33" s="8">
        <v>0.25</v>
      </c>
      <c r="G33" s="8">
        <v>1</v>
      </c>
      <c r="H33" s="8">
        <v>1</v>
      </c>
      <c r="I33" s="8">
        <v>1</v>
      </c>
      <c r="J33" s="8">
        <v>0.44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</row>
    <row r="34" spans="1:24">
      <c r="A34" s="8" t="s">
        <v>559</v>
      </c>
      <c r="C34" s="8">
        <f>C30*C33</f>
        <v>-6.329082278481013E-2</v>
      </c>
      <c r="D34" s="8">
        <f ca="1">D30*D33</f>
        <v>-3.1758430251845517E-8</v>
      </c>
      <c r="E34" s="8">
        <f t="shared" ref="E34:P34" ca="1" si="3">E30*E33</f>
        <v>-1.0724125800223252E-2</v>
      </c>
      <c r="F34" s="8">
        <f t="shared" ca="1" si="3"/>
        <v>-1.7335252333335792E-9</v>
      </c>
      <c r="G34" s="8">
        <f t="shared" si="3"/>
        <v>-4.7433848674759657E-5</v>
      </c>
      <c r="H34" s="8">
        <f t="shared" ca="1" si="3"/>
        <v>-3.3623533860715061E-4</v>
      </c>
      <c r="I34" s="8">
        <f t="shared" ca="1" si="3"/>
        <v>-2.1048855146748287E-5</v>
      </c>
      <c r="J34" s="8">
        <f t="shared" ca="1" si="3"/>
        <v>-7.4839916225702925E-5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  <c r="O34" s="8">
        <f t="shared" si="3"/>
        <v>0</v>
      </c>
      <c r="P34" s="8">
        <f t="shared" si="3"/>
        <v>0</v>
      </c>
    </row>
    <row r="35" spans="1:24">
      <c r="A35" s="8" t="s">
        <v>560</v>
      </c>
      <c r="C35" s="8">
        <f>IF(C34&lt;=0,-10,LOG(C34))</f>
        <v>-10</v>
      </c>
      <c r="D35" s="8">
        <f ca="1">IF(D34&lt;=0,-10,LOG(D34))</f>
        <v>-10</v>
      </c>
      <c r="E35" s="8">
        <f t="shared" ref="E35:P35" ca="1" si="4">IF(E34&lt;=0,-10,LOG(E34))</f>
        <v>-10</v>
      </c>
      <c r="F35" s="8">
        <f t="shared" ca="1" si="4"/>
        <v>-10</v>
      </c>
      <c r="G35" s="8">
        <f t="shared" si="4"/>
        <v>-10</v>
      </c>
      <c r="H35" s="8">
        <f t="shared" ca="1" si="4"/>
        <v>-10</v>
      </c>
      <c r="I35" s="8">
        <f t="shared" ca="1" si="4"/>
        <v>-10</v>
      </c>
      <c r="J35" s="8">
        <f t="shared" ca="1" si="4"/>
        <v>-10</v>
      </c>
      <c r="K35" s="8">
        <f t="shared" si="4"/>
        <v>-10</v>
      </c>
      <c r="L35" s="8">
        <f t="shared" si="4"/>
        <v>-10</v>
      </c>
      <c r="M35" s="8">
        <f t="shared" si="4"/>
        <v>-10</v>
      </c>
      <c r="N35" s="8">
        <f t="shared" si="4"/>
        <v>-10</v>
      </c>
      <c r="O35" s="8">
        <f t="shared" si="4"/>
        <v>-10</v>
      </c>
      <c r="P35" s="8">
        <f t="shared" si="4"/>
        <v>-10</v>
      </c>
    </row>
    <row r="37" spans="1:24">
      <c r="A37" s="8" t="s">
        <v>561</v>
      </c>
    </row>
    <row r="38" spans="1:24">
      <c r="A38" s="8" t="s">
        <v>562</v>
      </c>
      <c r="C38" s="8">
        <f>NORMDIST(C35,'PAF parameters'!E28,'PAF parameters'!F28,1)</f>
        <v>1.1173746545669781E-48</v>
      </c>
      <c r="D38" s="8">
        <f ca="1">NORMDIST(D35,'PAF parameters'!E29,'PAF parameters'!F29,1)</f>
        <v>1.0421880354304922E-20</v>
      </c>
      <c r="E38" s="8">
        <f ca="1">NORMDIST(E35,'PAF parameters'!E30,'PAF parameters'!F30,1)</f>
        <v>3.9845045941838557E-28</v>
      </c>
      <c r="F38" s="8">
        <f ca="1">NORMDIST(F35,'PAF parameters'!E31,'PAF parameters'!F31,1)</f>
        <v>4.8473780968932568E-33</v>
      </c>
      <c r="G38" s="8">
        <f>NORMDIST(G35,'PAF parameters'!E32,'PAF parameters'!F32,1)</f>
        <v>5.3422430351240203E-32</v>
      </c>
      <c r="H38" s="8">
        <f ca="1">NORMDIST(H35,'PAF parameters'!E33,'PAF parameters'!F33,1)</f>
        <v>4.9224797027886612E-37</v>
      </c>
      <c r="I38" s="8">
        <f ca="1">NORMDIST(I35,'PAF parameters'!E34,'PAF parameters'!F34,1)</f>
        <v>1.1890200399372959E-29</v>
      </c>
      <c r="J38" s="8">
        <f ca="1">NORMDIST(J35,'PAF parameters'!$E35,'PAF parameters'!$F35,1)</f>
        <v>2.4042796942985469E-40</v>
      </c>
      <c r="K38" s="8">
        <f>NORMDIST(K35,'PAF parameters'!$E36,'PAF parameters'!$F36,1)</f>
        <v>1.9839119057130028E-37</v>
      </c>
      <c r="L38" s="8">
        <f>NORMDIST(L35,'PAF parameters'!$E37,'PAF parameters'!$F37,1)</f>
        <v>5.8454517098657186E-22</v>
      </c>
      <c r="M38" s="8">
        <f>NORMDIST(M35,'PAF parameters'!$E38,'PAF parameters'!$F38,1)</f>
        <v>5.4073234737424402E-16</v>
      </c>
      <c r="N38" s="8">
        <f>NORMDIST(N35,'PAF parameters'!$E39,'PAF parameters'!$F39,1)</f>
        <v>8.4376856613839211E-31</v>
      </c>
      <c r="O38" s="8">
        <f>NORMDIST(O35,'PAF parameters'!$E40,'PAF parameters'!$F40,1)</f>
        <v>9.598915906142105E-171</v>
      </c>
      <c r="P38" s="8">
        <f>NORMDIST(P35,'PAF parameters'!$E41,'PAF parameters'!$F41,1)</f>
        <v>5.8303030840892537E-121</v>
      </c>
    </row>
    <row r="39" spans="1:24" s="331" customFormat="1">
      <c r="A39" s="331" t="s">
        <v>563</v>
      </c>
      <c r="C39" s="332">
        <f>100*C38</f>
        <v>1.1173746545669781E-46</v>
      </c>
      <c r="D39" s="332">
        <f t="shared" ref="D39:P39" ca="1" si="5">100*D38</f>
        <v>1.0421880354304921E-18</v>
      </c>
      <c r="E39" s="332">
        <f t="shared" ca="1" si="5"/>
        <v>3.9845045941838555E-26</v>
      </c>
      <c r="F39" s="332">
        <f t="shared" ca="1" si="5"/>
        <v>4.8473780968932567E-31</v>
      </c>
      <c r="G39" s="332">
        <f t="shared" si="5"/>
        <v>5.3422430351240202E-30</v>
      </c>
      <c r="H39" s="332">
        <f t="shared" ca="1" si="5"/>
        <v>4.9224797027886608E-35</v>
      </c>
      <c r="I39" s="332">
        <f t="shared" ca="1" si="5"/>
        <v>1.1890200399372958E-27</v>
      </c>
      <c r="J39" s="332">
        <f t="shared" ca="1" si="5"/>
        <v>2.4042796942985469E-38</v>
      </c>
      <c r="K39" s="332">
        <f t="shared" si="5"/>
        <v>1.9839119057130027E-35</v>
      </c>
      <c r="L39" s="332">
        <f t="shared" si="5"/>
        <v>5.8454517098657184E-20</v>
      </c>
      <c r="M39" s="332">
        <f t="shared" si="5"/>
        <v>5.4073234737424399E-14</v>
      </c>
      <c r="N39" s="332">
        <f t="shared" si="5"/>
        <v>8.4376856613839216E-29</v>
      </c>
      <c r="O39" s="332">
        <f t="shared" si="5"/>
        <v>9.5989159061421051E-169</v>
      </c>
      <c r="P39" s="332">
        <f t="shared" si="5"/>
        <v>5.8303030840892542E-119</v>
      </c>
      <c r="Q39" s="333"/>
      <c r="U39" s="334"/>
      <c r="V39" s="334"/>
      <c r="W39" s="334"/>
      <c r="X39" s="334"/>
    </row>
    <row r="41" spans="1:24">
      <c r="A41" s="8" t="s">
        <v>564</v>
      </c>
    </row>
    <row r="42" spans="1:24">
      <c r="A42" s="8" t="s">
        <v>565</v>
      </c>
      <c r="C42" s="8">
        <f ca="1">1-((1-C38)*(1-D38)*(1-E38)*(1-F38)*(1-G38)*(1-H38)*(1-I38)*(1-J38)*(1-K38)*(1-L38)*(1-M38)*(1-N38)*(1-O38)*(1-P38))</f>
        <v>0</v>
      </c>
    </row>
    <row r="43" spans="1:24" s="331" customFormat="1">
      <c r="A43" s="331" t="s">
        <v>566</v>
      </c>
      <c r="C43" s="335">
        <f ca="1">100*C42+U7</f>
        <v>0</v>
      </c>
      <c r="Q43" s="333"/>
      <c r="U43" s="334"/>
      <c r="V43" s="334"/>
      <c r="W43" s="334"/>
      <c r="X43" s="3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workbookViewId="0">
      <selection activeCell="AR14" sqref="AR14"/>
    </sheetView>
  </sheetViews>
  <sheetFormatPr defaultRowHeight="12.75"/>
  <cols>
    <col min="1" max="1" width="20.5703125" style="8" customWidth="1"/>
    <col min="2" max="2" width="10" style="8" customWidth="1"/>
    <col min="3" max="3" width="12.42578125" style="8" bestFit="1" customWidth="1"/>
    <col min="4" max="5" width="9.140625" style="8"/>
    <col min="6" max="6" width="12.5703125" style="8" bestFit="1" customWidth="1"/>
    <col min="7" max="7" width="13" style="8" customWidth="1"/>
    <col min="8" max="8" width="9.42578125" style="8" customWidth="1"/>
    <col min="9" max="9" width="9.7109375" style="8" customWidth="1"/>
    <col min="10" max="18" width="9.140625" style="8"/>
    <col min="19" max="19" width="10.5703125" style="8" bestFit="1" customWidth="1"/>
    <col min="20" max="21" width="9.140625" style="8"/>
    <col min="22" max="24" width="10" style="8" hidden="1" customWidth="1"/>
    <col min="25" max="25" width="9.140625" style="8"/>
    <col min="26" max="26" width="12.42578125" style="8" bestFit="1" customWidth="1"/>
    <col min="27" max="34" width="9.140625" style="8"/>
    <col min="35" max="35" width="10.5703125" style="8" bestFit="1" customWidth="1"/>
    <col min="36" max="38" width="12.42578125" style="8" bestFit="1" customWidth="1"/>
    <col min="39" max="39" width="9.7109375" style="8" bestFit="1" customWidth="1"/>
    <col min="40" max="42" width="9.140625" style="8"/>
    <col min="43" max="43" width="10.5703125" style="8" bestFit="1" customWidth="1"/>
    <col min="44" max="16384" width="9.140625" style="8"/>
  </cols>
  <sheetData>
    <row r="1" spans="1:44" ht="13.5" thickBot="1">
      <c r="A1" s="322" t="s">
        <v>526</v>
      </c>
      <c r="B1" s="322"/>
      <c r="C1" s="322"/>
      <c r="D1" s="322"/>
      <c r="E1" s="322"/>
      <c r="F1" s="322"/>
      <c r="G1" s="323" t="s">
        <v>527</v>
      </c>
    </row>
    <row r="2" spans="1:44" ht="39" thickBot="1">
      <c r="B2" s="8" t="s">
        <v>567</v>
      </c>
      <c r="C2" s="336" t="s">
        <v>568</v>
      </c>
      <c r="D2" s="336" t="s">
        <v>569</v>
      </c>
      <c r="E2" s="336" t="s">
        <v>570</v>
      </c>
      <c r="F2" s="336" t="s">
        <v>571</v>
      </c>
      <c r="G2" s="336" t="s">
        <v>572</v>
      </c>
      <c r="H2" s="336" t="s">
        <v>573</v>
      </c>
      <c r="I2" s="336" t="s">
        <v>574</v>
      </c>
      <c r="J2" s="336" t="s">
        <v>470</v>
      </c>
      <c r="K2" s="336" t="s">
        <v>575</v>
      </c>
      <c r="L2" s="336" t="s">
        <v>472</v>
      </c>
      <c r="M2" s="336" t="s">
        <v>473</v>
      </c>
      <c r="N2" s="336" t="s">
        <v>474</v>
      </c>
      <c r="O2" s="336" t="s">
        <v>475</v>
      </c>
      <c r="P2" s="336" t="s">
        <v>476</v>
      </c>
      <c r="Q2" s="336" t="s">
        <v>576</v>
      </c>
      <c r="R2" s="336" t="s">
        <v>577</v>
      </c>
      <c r="S2" s="336" t="s">
        <v>94</v>
      </c>
      <c r="T2" s="336" t="s">
        <v>93</v>
      </c>
      <c r="U2" s="336" t="s">
        <v>92</v>
      </c>
      <c r="V2" s="336" t="s">
        <v>483</v>
      </c>
      <c r="W2" s="336" t="s">
        <v>484</v>
      </c>
      <c r="X2" s="336" t="s">
        <v>485</v>
      </c>
      <c r="Y2" s="8" t="s">
        <v>578</v>
      </c>
      <c r="Z2" s="8" t="s">
        <v>579</v>
      </c>
      <c r="AA2" s="8" t="s">
        <v>580</v>
      </c>
      <c r="AB2" s="8" t="s">
        <v>581</v>
      </c>
      <c r="AC2" s="8" t="s">
        <v>582</v>
      </c>
      <c r="AD2" s="8" t="s">
        <v>583</v>
      </c>
      <c r="AE2" s="8" t="s">
        <v>584</v>
      </c>
      <c r="AF2" s="8" t="s">
        <v>585</v>
      </c>
      <c r="AG2" s="8" t="s">
        <v>586</v>
      </c>
      <c r="AH2" s="8" t="s">
        <v>587</v>
      </c>
      <c r="AI2" s="8" t="s">
        <v>615</v>
      </c>
      <c r="AJ2" s="337" t="s">
        <v>509</v>
      </c>
      <c r="AK2" s="337" t="s">
        <v>511</v>
      </c>
      <c r="AL2" s="337" t="s">
        <v>512</v>
      </c>
      <c r="AM2" s="337" t="s">
        <v>513</v>
      </c>
      <c r="AN2" s="337" t="s">
        <v>514</v>
      </c>
      <c r="AO2" s="337" t="s">
        <v>515</v>
      </c>
      <c r="AP2" s="337" t="s">
        <v>516</v>
      </c>
      <c r="AQ2" s="338" t="s">
        <v>588</v>
      </c>
      <c r="AR2" s="363" t="s">
        <v>616</v>
      </c>
    </row>
    <row r="3" spans="1:44" ht="14.25" thickTop="1" thickBot="1">
      <c r="A3" s="8" t="s">
        <v>461</v>
      </c>
      <c r="C3" s="339" t="s">
        <v>465</v>
      </c>
      <c r="D3" s="339" t="s">
        <v>465</v>
      </c>
      <c r="E3" s="339" t="s">
        <v>465</v>
      </c>
      <c r="F3" s="339" t="s">
        <v>465</v>
      </c>
      <c r="G3" s="339" t="s">
        <v>465</v>
      </c>
      <c r="H3" s="339" t="s">
        <v>465</v>
      </c>
      <c r="I3" s="339" t="s">
        <v>465</v>
      </c>
      <c r="J3" s="339" t="s">
        <v>465</v>
      </c>
      <c r="K3" s="339" t="s">
        <v>465</v>
      </c>
      <c r="L3" s="339" t="s">
        <v>465</v>
      </c>
      <c r="M3" s="339" t="s">
        <v>465</v>
      </c>
      <c r="N3" s="339" t="s">
        <v>465</v>
      </c>
      <c r="O3" s="339" t="s">
        <v>465</v>
      </c>
      <c r="P3" s="339" t="s">
        <v>465</v>
      </c>
      <c r="Q3" s="339" t="s">
        <v>465</v>
      </c>
      <c r="R3" s="339" t="s">
        <v>465</v>
      </c>
      <c r="S3" s="339"/>
      <c r="T3" s="339"/>
      <c r="U3" s="339"/>
      <c r="V3" s="339" t="s">
        <v>92</v>
      </c>
      <c r="W3" s="339" t="s">
        <v>92</v>
      </c>
      <c r="X3" s="339" t="s">
        <v>92</v>
      </c>
      <c r="Y3" s="8" t="s">
        <v>496</v>
      </c>
      <c r="Z3" s="8" t="s">
        <v>496</v>
      </c>
      <c r="AA3" s="8" t="s">
        <v>496</v>
      </c>
      <c r="AB3" s="8" t="s">
        <v>496</v>
      </c>
      <c r="AC3" s="8" t="s">
        <v>496</v>
      </c>
      <c r="AD3" s="8" t="s">
        <v>496</v>
      </c>
      <c r="AE3" s="8" t="s">
        <v>496</v>
      </c>
      <c r="AF3" s="8" t="s">
        <v>496</v>
      </c>
      <c r="AG3" s="8" t="s">
        <v>496</v>
      </c>
      <c r="AH3" s="8" t="s">
        <v>496</v>
      </c>
      <c r="AI3" s="8" t="s">
        <v>498</v>
      </c>
      <c r="AJ3" s="339" t="s">
        <v>510</v>
      </c>
      <c r="AK3" s="339" t="s">
        <v>510</v>
      </c>
      <c r="AL3" s="339" t="s">
        <v>510</v>
      </c>
      <c r="AM3" s="339" t="s">
        <v>510</v>
      </c>
      <c r="AN3" s="339" t="s">
        <v>510</v>
      </c>
      <c r="AO3" s="339" t="s">
        <v>510</v>
      </c>
      <c r="AP3" s="339" t="s">
        <v>510</v>
      </c>
      <c r="AQ3" s="340" t="s">
        <v>518</v>
      </c>
    </row>
    <row r="4" spans="1:44" ht="13.5" thickBot="1">
      <c r="A4" s="8" t="s">
        <v>589</v>
      </c>
      <c r="B4" s="8" t="s">
        <v>590</v>
      </c>
      <c r="C4" s="341">
        <f>'analyse import'!L156</f>
        <v>0</v>
      </c>
      <c r="D4" s="341">
        <f>'analyse import'!L157</f>
        <v>0</v>
      </c>
      <c r="E4" s="341">
        <f>'analyse import'!L159</f>
        <v>0</v>
      </c>
      <c r="F4" s="342">
        <v>1.0000000000000001E-9</v>
      </c>
      <c r="G4" s="341">
        <f>'analyse import'!L158</f>
        <v>0</v>
      </c>
      <c r="H4" s="341">
        <f>'analyse import'!L155</f>
        <v>0</v>
      </c>
      <c r="I4" s="341">
        <f>'analyse import'!L154</f>
        <v>0</v>
      </c>
      <c r="J4" s="341">
        <f>'analyse import'!L143</f>
        <v>0</v>
      </c>
      <c r="K4" s="341">
        <f>'analyse import'!L114</f>
        <v>0</v>
      </c>
      <c r="L4" s="341">
        <f>'analyse import'!L148</f>
        <v>0</v>
      </c>
      <c r="M4" s="341">
        <f>'analyse import'!L149</f>
        <v>0</v>
      </c>
      <c r="N4" s="341">
        <f>'analyse import'!L150</f>
        <v>0</v>
      </c>
      <c r="O4" s="341">
        <f>'analyse import'!L151</f>
        <v>0</v>
      </c>
      <c r="P4" s="341">
        <f>'analyse import'!L152</f>
        <v>0</v>
      </c>
      <c r="Q4" s="341">
        <f>'analyse import'!L161</f>
        <v>0</v>
      </c>
      <c r="R4" s="341">
        <f>'analyse import'!L162</f>
        <v>0</v>
      </c>
      <c r="S4" s="341">
        <f>'analyse import'!L146</f>
        <v>0</v>
      </c>
      <c r="T4" s="341">
        <f>'analyse import'!L145</f>
        <v>0</v>
      </c>
      <c r="U4" s="341">
        <f>'analyse import'!L144</f>
        <v>0</v>
      </c>
      <c r="V4" s="343">
        <v>9.9999999999999995E-8</v>
      </c>
      <c r="W4" s="343">
        <v>9.9999999999999995E-8</v>
      </c>
      <c r="X4" s="343">
        <v>9.9999999999999995E-8</v>
      </c>
      <c r="Y4" s="341">
        <f>'analyse import'!L82</f>
        <v>0</v>
      </c>
      <c r="Z4" s="341">
        <f>'analyse import'!L85</f>
        <v>0</v>
      </c>
      <c r="AA4" s="341">
        <f>'analyse import'!L86</f>
        <v>0</v>
      </c>
      <c r="AB4" s="341">
        <f>'analyse import'!L89</f>
        <v>0</v>
      </c>
      <c r="AC4" s="341">
        <f>'analyse import'!L87</f>
        <v>0</v>
      </c>
      <c r="AD4" s="341">
        <f>'analyse import'!L84</f>
        <v>0</v>
      </c>
      <c r="AE4" s="341">
        <f>'analyse import'!L81</f>
        <v>0</v>
      </c>
      <c r="AF4" s="341">
        <f>'analyse import'!L83</f>
        <v>0</v>
      </c>
      <c r="AG4" s="341">
        <f>'analyse import'!L88</f>
        <v>0</v>
      </c>
      <c r="AH4" s="341">
        <f>'analyse import'!L80</f>
        <v>0</v>
      </c>
      <c r="AI4" s="341">
        <f>'analyse import'!L122</f>
        <v>0</v>
      </c>
      <c r="AJ4" s="341">
        <f>'analyse import'!L126</f>
        <v>0</v>
      </c>
      <c r="AK4" s="341">
        <f>'analyse import'!L127</f>
        <v>0</v>
      </c>
      <c r="AL4" s="341">
        <f>'analyse import'!L128</f>
        <v>0</v>
      </c>
      <c r="AM4" s="341">
        <f>'analyse import'!L129</f>
        <v>0</v>
      </c>
      <c r="AN4" s="341">
        <f>'analyse import'!L130</f>
        <v>0</v>
      </c>
      <c r="AO4" s="341">
        <f>'analyse import'!L131</f>
        <v>0</v>
      </c>
      <c r="AP4" s="341">
        <f>'analyse import'!L132</f>
        <v>0</v>
      </c>
      <c r="AQ4" s="341">
        <f>'analyse import'!L163/1000</f>
        <v>0</v>
      </c>
      <c r="AR4" s="341">
        <f>'analyse import'!L113</f>
        <v>0</v>
      </c>
    </row>
    <row r="5" spans="1:44">
      <c r="A5" s="8" t="s">
        <v>591</v>
      </c>
      <c r="B5" s="8" t="s">
        <v>592</v>
      </c>
      <c r="Y5" s="344">
        <f>0.8*Y4</f>
        <v>0</v>
      </c>
      <c r="Z5" s="8">
        <f t="shared" ref="Z5:AH5" si="0">0.8*Z4</f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</row>
    <row r="6" spans="1:44" ht="13.5" thickBot="1">
      <c r="A6" s="8" t="s">
        <v>593</v>
      </c>
      <c r="B6" s="8">
        <f ca="1">0.57*B8</f>
        <v>1.1399999999999999E-2</v>
      </c>
    </row>
    <row r="7" spans="1:44" ht="13.5" thickBot="1">
      <c r="A7" s="8" t="s">
        <v>539</v>
      </c>
      <c r="B7" s="330">
        <f ca="1">AVERAGE(omrekenen!J3:K3)</f>
        <v>2</v>
      </c>
    </row>
    <row r="8" spans="1:44">
      <c r="A8" s="8" t="s">
        <v>594</v>
      </c>
      <c r="B8" s="327">
        <f ca="1">+B7/100</f>
        <v>0.02</v>
      </c>
    </row>
    <row r="9" spans="1:44">
      <c r="A9" s="8" t="s">
        <v>595</v>
      </c>
      <c r="B9" s="8" t="s">
        <v>590</v>
      </c>
      <c r="C9" s="345">
        <f>LOG10(C10)</f>
        <v>3.3342526423342309</v>
      </c>
      <c r="D9" s="345">
        <f t="shared" ref="D9:AR9" si="1">LOG10(D10)</f>
        <v>3.3699576073460529</v>
      </c>
      <c r="E9" s="345">
        <f t="shared" si="1"/>
        <v>3.2617385473525378</v>
      </c>
      <c r="F9" s="345">
        <f t="shared" si="1"/>
        <v>3.2617385473525378</v>
      </c>
      <c r="G9" s="345">
        <f t="shared" si="1"/>
        <v>2.989894563718773</v>
      </c>
      <c r="H9" s="345">
        <f t="shared" si="1"/>
        <v>3.7724684030532805</v>
      </c>
      <c r="I9" s="345">
        <f t="shared" si="1"/>
        <v>3.5086643630529428</v>
      </c>
      <c r="J9" s="345">
        <f t="shared" si="1"/>
        <v>4.9300010010090753</v>
      </c>
      <c r="K9" s="345">
        <f t="shared" si="1"/>
        <v>3.9759829437125465</v>
      </c>
      <c r="L9" s="345">
        <f t="shared" si="1"/>
        <v>5.6225000034341521</v>
      </c>
      <c r="M9" s="345">
        <f t="shared" si="1"/>
        <v>4.0850049990766522</v>
      </c>
      <c r="N9" s="345">
        <f t="shared" si="1"/>
        <v>4.1433271299920467</v>
      </c>
      <c r="O9" s="345">
        <f t="shared" si="1"/>
        <v>5.0237996140220202</v>
      </c>
      <c r="P9" s="345">
        <f t="shared" si="1"/>
        <v>3.6734816970733473</v>
      </c>
      <c r="Q9" s="345">
        <f t="shared" si="1"/>
        <v>4.1800111190577178</v>
      </c>
      <c r="R9" s="345">
        <f t="shared" si="1"/>
        <v>3.959994838328416</v>
      </c>
      <c r="S9" s="345">
        <f t="shared" si="1"/>
        <v>5.9400002044629323</v>
      </c>
      <c r="T9" s="345">
        <f t="shared" si="1"/>
        <v>5.2340006822417982</v>
      </c>
      <c r="U9" s="345">
        <f t="shared" si="1"/>
        <v>5.5899998381415923</v>
      </c>
      <c r="V9" s="345">
        <f t="shared" si="1"/>
        <v>5.9400002044629323</v>
      </c>
      <c r="W9" s="345">
        <f t="shared" si="1"/>
        <v>5.2340006822417982</v>
      </c>
      <c r="X9" s="345">
        <f t="shared" si="1"/>
        <v>5.5900000000000007</v>
      </c>
      <c r="Y9" s="345">
        <f t="shared" si="1"/>
        <v>4.3</v>
      </c>
      <c r="Z9" s="345">
        <f t="shared" si="1"/>
        <v>5.785999982295615</v>
      </c>
      <c r="AA9" s="345">
        <f t="shared" si="1"/>
        <v>5.8240001503122611</v>
      </c>
      <c r="AB9" s="345">
        <f t="shared" si="1"/>
        <v>6.4300000000000006</v>
      </c>
      <c r="AC9" s="345">
        <f t="shared" si="1"/>
        <v>6.2440001233535254</v>
      </c>
      <c r="AD9" s="345">
        <f t="shared" si="1"/>
        <v>5.7160000028951661</v>
      </c>
      <c r="AE9" s="345">
        <f t="shared" si="1"/>
        <v>4.2300000000000013</v>
      </c>
      <c r="AF9" s="345">
        <f t="shared" si="1"/>
        <v>5.18</v>
      </c>
      <c r="AG9" s="345">
        <f t="shared" si="1"/>
        <v>6.0200000000000005</v>
      </c>
      <c r="AH9" s="345">
        <f t="shared" si="1"/>
        <v>3.3500540935790304</v>
      </c>
      <c r="AI9" s="345">
        <f t="shared" si="1"/>
        <v>3.3800000000000003</v>
      </c>
      <c r="AJ9" s="345">
        <f t="shared" si="1"/>
        <v>4.620000000000001</v>
      </c>
      <c r="AK9" s="345">
        <f t="shared" si="1"/>
        <v>4.7099988280251885</v>
      </c>
      <c r="AL9" s="345">
        <f t="shared" si="1"/>
        <v>5.580000000000001</v>
      </c>
      <c r="AM9" s="345">
        <f t="shared" si="1"/>
        <v>4.7499989765583495</v>
      </c>
      <c r="AN9" s="345">
        <f t="shared" si="1"/>
        <v>5.71</v>
      </c>
      <c r="AO9" s="345">
        <f t="shared" si="1"/>
        <v>5.6599998198406505</v>
      </c>
      <c r="AP9" s="345">
        <f t="shared" si="1"/>
        <v>5.99</v>
      </c>
      <c r="AQ9" s="345">
        <f t="shared" si="1"/>
        <v>3.3617278360175931</v>
      </c>
      <c r="AR9" s="345">
        <f t="shared" si="1"/>
        <v>3.9200189160289147</v>
      </c>
    </row>
    <row r="10" spans="1:44">
      <c r="A10" s="8" t="s">
        <v>596</v>
      </c>
      <c r="C10" s="346">
        <v>2159</v>
      </c>
      <c r="D10" s="346">
        <v>2344</v>
      </c>
      <c r="E10" s="346">
        <v>1827</v>
      </c>
      <c r="F10" s="346">
        <v>1827</v>
      </c>
      <c r="G10" s="346">
        <v>977</v>
      </c>
      <c r="H10" s="346">
        <v>5922</v>
      </c>
      <c r="I10" s="346">
        <v>3226</v>
      </c>
      <c r="J10" s="346">
        <v>85114</v>
      </c>
      <c r="K10" s="346">
        <v>9462</v>
      </c>
      <c r="L10" s="346">
        <v>419276</v>
      </c>
      <c r="M10" s="346">
        <v>12162</v>
      </c>
      <c r="N10" s="346">
        <v>13910</v>
      </c>
      <c r="O10" s="346">
        <v>105633</v>
      </c>
      <c r="P10" s="346">
        <v>4715</v>
      </c>
      <c r="Q10" s="346">
        <v>15136</v>
      </c>
      <c r="R10" s="346">
        <v>9120</v>
      </c>
      <c r="S10" s="346">
        <v>870964</v>
      </c>
      <c r="T10" s="346">
        <v>171396</v>
      </c>
      <c r="U10" s="346">
        <v>389045</v>
      </c>
      <c r="V10" s="346">
        <v>870964</v>
      </c>
      <c r="W10" s="346">
        <v>171396</v>
      </c>
      <c r="X10" s="346">
        <v>389045.14499428123</v>
      </c>
      <c r="Y10" s="346">
        <v>19952.623149688792</v>
      </c>
      <c r="Z10" s="346">
        <v>610942</v>
      </c>
      <c r="AA10" s="346">
        <v>666807</v>
      </c>
      <c r="AB10" s="346">
        <v>2691534.8039269177</v>
      </c>
      <c r="AC10" s="346">
        <v>1753881</v>
      </c>
      <c r="AD10" s="346">
        <v>519996</v>
      </c>
      <c r="AE10" s="346">
        <v>16982.436524617482</v>
      </c>
      <c r="AF10" s="346">
        <v>151356.12484362084</v>
      </c>
      <c r="AG10" s="346">
        <v>1047128.5480509007</v>
      </c>
      <c r="AH10" s="346">
        <v>2239</v>
      </c>
      <c r="AI10" s="346">
        <v>2398.8329190194918</v>
      </c>
      <c r="AJ10" s="346">
        <v>41686.938347033625</v>
      </c>
      <c r="AK10" s="346">
        <v>51286</v>
      </c>
      <c r="AL10" s="346">
        <v>380189.39632056188</v>
      </c>
      <c r="AM10" s="346">
        <v>56234</v>
      </c>
      <c r="AN10" s="346">
        <v>512861.38399136515</v>
      </c>
      <c r="AO10" s="346">
        <v>457088</v>
      </c>
      <c r="AP10" s="346">
        <v>977237.22095581202</v>
      </c>
      <c r="AQ10" s="346">
        <v>2300</v>
      </c>
      <c r="AR10" s="346">
        <v>8318</v>
      </c>
    </row>
    <row r="11" spans="1:44">
      <c r="A11" s="8" t="s">
        <v>597</v>
      </c>
      <c r="C11" s="346">
        <f ca="1">+$B$6*C10</f>
        <v>24.612599999999997</v>
      </c>
      <c r="D11" s="346">
        <f t="shared" ref="D11:AH11" ca="1" si="2">+$B$6*D10</f>
        <v>26.721599999999995</v>
      </c>
      <c r="E11" s="346">
        <f t="shared" ca="1" si="2"/>
        <v>20.827799999999996</v>
      </c>
      <c r="F11" s="346">
        <f t="shared" ca="1" si="2"/>
        <v>20.827799999999996</v>
      </c>
      <c r="G11" s="346">
        <f t="shared" ca="1" si="2"/>
        <v>11.137799999999999</v>
      </c>
      <c r="H11" s="346">
        <f t="shared" ca="1" si="2"/>
        <v>67.510799999999989</v>
      </c>
      <c r="I11" s="346">
        <f t="shared" ca="1" si="2"/>
        <v>36.776399999999995</v>
      </c>
      <c r="J11" s="346">
        <f t="shared" ca="1" si="2"/>
        <v>970.29959999999994</v>
      </c>
      <c r="K11" s="346">
        <f t="shared" ca="1" si="2"/>
        <v>107.86679999999998</v>
      </c>
      <c r="L11" s="346">
        <f t="shared" ca="1" si="2"/>
        <v>4779.7463999999991</v>
      </c>
      <c r="M11" s="346">
        <f t="shared" ca="1" si="2"/>
        <v>138.64679999999998</v>
      </c>
      <c r="N11" s="346">
        <f t="shared" ca="1" si="2"/>
        <v>158.57399999999998</v>
      </c>
      <c r="O11" s="346">
        <f t="shared" ca="1" si="2"/>
        <v>1204.2161999999998</v>
      </c>
      <c r="P11" s="346">
        <f t="shared" ca="1" si="2"/>
        <v>53.750999999999991</v>
      </c>
      <c r="Q11" s="346">
        <f t="shared" ca="1" si="2"/>
        <v>172.55039999999997</v>
      </c>
      <c r="R11" s="346">
        <f t="shared" ca="1" si="2"/>
        <v>103.96799999999999</v>
      </c>
      <c r="S11" s="346">
        <f t="shared" ca="1" si="2"/>
        <v>9928.989599999999</v>
      </c>
      <c r="T11" s="346">
        <f t="shared" ca="1" si="2"/>
        <v>1953.9143999999997</v>
      </c>
      <c r="U11" s="346">
        <f t="shared" ca="1" si="2"/>
        <v>4435.1129999999994</v>
      </c>
      <c r="V11" s="346">
        <f t="shared" ca="1" si="2"/>
        <v>9928.989599999999</v>
      </c>
      <c r="W11" s="346">
        <f t="shared" ca="1" si="2"/>
        <v>1953.9143999999997</v>
      </c>
      <c r="X11" s="346">
        <f t="shared" ca="1" si="2"/>
        <v>4435.1146529348052</v>
      </c>
      <c r="Y11" s="346">
        <f t="shared" ca="1" si="2"/>
        <v>227.45990390645221</v>
      </c>
      <c r="Z11" s="346">
        <f t="shared" ca="1" si="2"/>
        <v>6964.7387999999992</v>
      </c>
      <c r="AA11" s="346">
        <f t="shared" ca="1" si="2"/>
        <v>7601.599799999999</v>
      </c>
      <c r="AB11" s="346">
        <f t="shared" ca="1" si="2"/>
        <v>30683.49676476686</v>
      </c>
      <c r="AC11" s="346">
        <f t="shared" ca="1" si="2"/>
        <v>19994.243399999999</v>
      </c>
      <c r="AD11" s="346">
        <f t="shared" ca="1" si="2"/>
        <v>5927.9543999999996</v>
      </c>
      <c r="AE11" s="346">
        <f t="shared" ca="1" si="2"/>
        <v>193.59977638063927</v>
      </c>
      <c r="AF11" s="346">
        <f t="shared" ca="1" si="2"/>
        <v>1725.4598232172773</v>
      </c>
      <c r="AG11" s="346">
        <f t="shared" ca="1" si="2"/>
        <v>11937.265447780266</v>
      </c>
      <c r="AH11" s="346">
        <f t="shared" ca="1" si="2"/>
        <v>25.524599999999996</v>
      </c>
      <c r="AI11" s="346">
        <f ca="1">+$B$6*AI10</f>
        <v>27.346695276822203</v>
      </c>
      <c r="AJ11" s="346">
        <f t="shared" ref="AJ11:AQ11" ca="1" si="3">+$B$6*AJ10</f>
        <v>475.2310971561833</v>
      </c>
      <c r="AK11" s="346">
        <f t="shared" ca="1" si="3"/>
        <v>584.66039999999998</v>
      </c>
      <c r="AL11" s="346">
        <f t="shared" ca="1" si="3"/>
        <v>4334.1591180544046</v>
      </c>
      <c r="AM11" s="346">
        <f t="shared" ca="1" si="3"/>
        <v>641.06759999999997</v>
      </c>
      <c r="AN11" s="346">
        <f t="shared" ca="1" si="3"/>
        <v>5846.6197775015617</v>
      </c>
      <c r="AO11" s="346">
        <f t="shared" ca="1" si="3"/>
        <v>5210.8031999999994</v>
      </c>
      <c r="AP11" s="346">
        <f t="shared" ca="1" si="3"/>
        <v>11140.504318896255</v>
      </c>
      <c r="AQ11" s="346">
        <f t="shared" ca="1" si="3"/>
        <v>26.219999999999995</v>
      </c>
      <c r="AR11" s="346">
        <f ca="1">+$B$6*AR10</f>
        <v>94.825199999999995</v>
      </c>
    </row>
    <row r="12" spans="1:44">
      <c r="A12" s="8" t="s">
        <v>598</v>
      </c>
      <c r="C12" s="8">
        <f ca="1">+C4/C11</f>
        <v>0</v>
      </c>
      <c r="D12" s="8">
        <f t="shared" ref="D12:X12" ca="1" si="4">+D4/D11</f>
        <v>0</v>
      </c>
      <c r="E12" s="8">
        <f t="shared" ca="1" si="4"/>
        <v>0</v>
      </c>
      <c r="F12" s="8">
        <f t="shared" ca="1" si="4"/>
        <v>4.8012752186980872E-11</v>
      </c>
      <c r="G12" s="8">
        <f t="shared" ca="1" si="4"/>
        <v>0</v>
      </c>
      <c r="H12" s="8">
        <f t="shared" ca="1" si="4"/>
        <v>0</v>
      </c>
      <c r="I12" s="8">
        <f t="shared" ca="1" si="4"/>
        <v>0</v>
      </c>
      <c r="J12" s="8">
        <f t="shared" ca="1" si="4"/>
        <v>0</v>
      </c>
      <c r="K12" s="8">
        <f t="shared" ca="1" si="4"/>
        <v>0</v>
      </c>
      <c r="L12" s="8">
        <f t="shared" ca="1" si="4"/>
        <v>0</v>
      </c>
      <c r="M12" s="8">
        <f t="shared" ca="1" si="4"/>
        <v>0</v>
      </c>
      <c r="N12" s="8">
        <f t="shared" ca="1" si="4"/>
        <v>0</v>
      </c>
      <c r="O12" s="8">
        <f t="shared" ca="1" si="4"/>
        <v>0</v>
      </c>
      <c r="P12" s="8">
        <f t="shared" ca="1" si="4"/>
        <v>0</v>
      </c>
      <c r="Q12" s="8">
        <f t="shared" ca="1" si="4"/>
        <v>0</v>
      </c>
      <c r="R12" s="8">
        <f t="shared" ca="1" si="4"/>
        <v>0</v>
      </c>
      <c r="S12" s="8">
        <f t="shared" ca="1" si="4"/>
        <v>0</v>
      </c>
      <c r="T12" s="8">
        <f t="shared" ca="1" si="4"/>
        <v>0</v>
      </c>
      <c r="U12" s="8">
        <f t="shared" ca="1" si="4"/>
        <v>0</v>
      </c>
      <c r="V12" s="8">
        <f t="shared" ca="1" si="4"/>
        <v>1.0071518253982259E-11</v>
      </c>
      <c r="W12" s="8">
        <f t="shared" ca="1" si="4"/>
        <v>5.1179314713070345E-11</v>
      </c>
      <c r="X12" s="8">
        <f t="shared" ca="1" si="4"/>
        <v>2.2547331427797017E-11</v>
      </c>
      <c r="Y12" s="8">
        <f ca="1">+Y5/Y11</f>
        <v>0</v>
      </c>
      <c r="Z12" s="8">
        <f t="shared" ref="Z12:AH12" ca="1" si="5">+Z5/Z11</f>
        <v>0</v>
      </c>
      <c r="AA12" s="8">
        <f t="shared" ca="1" si="5"/>
        <v>0</v>
      </c>
      <c r="AB12" s="8">
        <f t="shared" ca="1" si="5"/>
        <v>0</v>
      </c>
      <c r="AC12" s="8">
        <f t="shared" ca="1" si="5"/>
        <v>0</v>
      </c>
      <c r="AD12" s="8">
        <f t="shared" ca="1" si="5"/>
        <v>0</v>
      </c>
      <c r="AE12" s="8">
        <f t="shared" ca="1" si="5"/>
        <v>0</v>
      </c>
      <c r="AF12" s="8">
        <f t="shared" ca="1" si="5"/>
        <v>0</v>
      </c>
      <c r="AG12" s="8">
        <f t="shared" ca="1" si="5"/>
        <v>0</v>
      </c>
      <c r="AH12" s="8">
        <f t="shared" ca="1" si="5"/>
        <v>0</v>
      </c>
      <c r="AI12" s="8">
        <f ca="1">+AI4/AI11</f>
        <v>0</v>
      </c>
      <c r="AJ12" s="8">
        <f t="shared" ref="AJ12:AQ12" ca="1" si="6">+AJ4/AJ11</f>
        <v>0</v>
      </c>
      <c r="AK12" s="8">
        <f t="shared" ca="1" si="6"/>
        <v>0</v>
      </c>
      <c r="AL12" s="8">
        <f t="shared" ca="1" si="6"/>
        <v>0</v>
      </c>
      <c r="AM12" s="8">
        <f t="shared" ca="1" si="6"/>
        <v>0</v>
      </c>
      <c r="AN12" s="8">
        <f t="shared" ca="1" si="6"/>
        <v>0</v>
      </c>
      <c r="AO12" s="8">
        <f t="shared" ca="1" si="6"/>
        <v>0</v>
      </c>
      <c r="AP12" s="8">
        <f t="shared" ca="1" si="6"/>
        <v>0</v>
      </c>
      <c r="AQ12" s="8">
        <f t="shared" ca="1" si="6"/>
        <v>0</v>
      </c>
      <c r="AR12" s="8">
        <f ca="1">+AR4/AR11</f>
        <v>0</v>
      </c>
    </row>
    <row r="13" spans="1:44">
      <c r="A13" s="8" t="s">
        <v>599</v>
      </c>
      <c r="C13" s="347">
        <f>IF(C4&gt;0,LOG(C12),LOG(0.00001))</f>
        <v>-5</v>
      </c>
      <c r="D13" s="347">
        <f>IF(D4&gt;0,LOG(D12),LOG(0.00001))</f>
        <v>-5</v>
      </c>
      <c r="E13" s="347">
        <f>IF(E4&gt;0,LOG(E12),LOG(0.00001))</f>
        <v>-5</v>
      </c>
      <c r="F13" s="347">
        <f ca="1">IF(F4&gt;0,LOG(F12),LOG(0.00001))</f>
        <v>-10.31864339868901</v>
      </c>
      <c r="G13" s="347">
        <f>IF(G4&gt;0,LOG(G12),LOG(0.0000000001))</f>
        <v>-10</v>
      </c>
      <c r="H13" s="347">
        <f>IF(H4&gt;0,LOG(H12),LOG(0.0000000001))</f>
        <v>-10</v>
      </c>
      <c r="I13" s="347">
        <f t="shared" ref="I13:Y13" si="7">IF(I4&gt;0,LOG(I12),LOG(0.00001))</f>
        <v>-5</v>
      </c>
      <c r="J13" s="347">
        <f>IF(J4&gt;0,LOG(J12),LOG(0.00000001))</f>
        <v>-8</v>
      </c>
      <c r="K13" s="347">
        <f t="shared" si="7"/>
        <v>-5</v>
      </c>
      <c r="L13" s="347">
        <f t="shared" ref="L13:U13" si="8">IF(L4&gt;0,LOG(L12),LOG(0.00000001))</f>
        <v>-8</v>
      </c>
      <c r="M13" s="347">
        <f t="shared" si="8"/>
        <v>-8</v>
      </c>
      <c r="N13" s="347">
        <f t="shared" si="8"/>
        <v>-8</v>
      </c>
      <c r="O13" s="347">
        <f t="shared" si="8"/>
        <v>-8</v>
      </c>
      <c r="P13" s="347">
        <f t="shared" si="8"/>
        <v>-8</v>
      </c>
      <c r="Q13" s="347">
        <f t="shared" si="8"/>
        <v>-8</v>
      </c>
      <c r="R13" s="347">
        <f t="shared" si="8"/>
        <v>-8</v>
      </c>
      <c r="S13" s="347">
        <f t="shared" si="8"/>
        <v>-8</v>
      </c>
      <c r="T13" s="347">
        <f t="shared" si="8"/>
        <v>-8</v>
      </c>
      <c r="U13" s="347">
        <f t="shared" si="8"/>
        <v>-8</v>
      </c>
      <c r="V13" s="347">
        <f t="shared" ca="1" si="7"/>
        <v>-10.996905055799404</v>
      </c>
      <c r="W13" s="347">
        <f t="shared" ca="1" si="7"/>
        <v>-10.29090553357827</v>
      </c>
      <c r="X13" s="347">
        <f t="shared" ca="1" si="7"/>
        <v>-10.646904851336473</v>
      </c>
      <c r="Y13" s="347">
        <f t="shared" si="7"/>
        <v>-5</v>
      </c>
      <c r="Z13" s="347">
        <f t="shared" ref="Z13:AR13" si="9">IF(Z4&gt;0,LOG(Z12),LOG(0.0000001))</f>
        <v>-7</v>
      </c>
      <c r="AA13" s="347">
        <f t="shared" si="9"/>
        <v>-7</v>
      </c>
      <c r="AB13" s="347">
        <f t="shared" si="9"/>
        <v>-7</v>
      </c>
      <c r="AC13" s="347">
        <f t="shared" si="9"/>
        <v>-7</v>
      </c>
      <c r="AD13" s="347">
        <f t="shared" si="9"/>
        <v>-7</v>
      </c>
      <c r="AE13" s="347">
        <f t="shared" si="9"/>
        <v>-7</v>
      </c>
      <c r="AF13" s="347">
        <f t="shared" si="9"/>
        <v>-7</v>
      </c>
      <c r="AG13" s="347">
        <f t="shared" si="9"/>
        <v>-7</v>
      </c>
      <c r="AH13" s="347">
        <f t="shared" si="9"/>
        <v>-7</v>
      </c>
      <c r="AI13" s="347">
        <f t="shared" si="9"/>
        <v>-7</v>
      </c>
      <c r="AJ13" s="347">
        <f t="shared" si="9"/>
        <v>-7</v>
      </c>
      <c r="AK13" s="347">
        <f t="shared" si="9"/>
        <v>-7</v>
      </c>
      <c r="AL13" s="347">
        <f t="shared" si="9"/>
        <v>-7</v>
      </c>
      <c r="AM13" s="347">
        <f t="shared" si="9"/>
        <v>-7</v>
      </c>
      <c r="AN13" s="347">
        <f t="shared" si="9"/>
        <v>-7</v>
      </c>
      <c r="AO13" s="347">
        <f t="shared" si="9"/>
        <v>-7</v>
      </c>
      <c r="AP13" s="347">
        <f t="shared" si="9"/>
        <v>-7</v>
      </c>
      <c r="AQ13" s="347">
        <f t="shared" si="9"/>
        <v>-7</v>
      </c>
      <c r="AR13" s="347">
        <f t="shared" si="9"/>
        <v>-7</v>
      </c>
    </row>
    <row r="14" spans="1:44">
      <c r="A14" s="8" t="s">
        <v>600</v>
      </c>
      <c r="C14" s="348">
        <v>-0.54876244200000002</v>
      </c>
      <c r="D14" s="348">
        <v>-0.78417635900000005</v>
      </c>
      <c r="E14" s="348">
        <v>-0.53553179299999998</v>
      </c>
      <c r="F14" s="348">
        <v>-0.62282353099999999</v>
      </c>
      <c r="G14" s="348">
        <v>-1.7273206729999999</v>
      </c>
      <c r="H14" s="348">
        <v>-2.6073587740000002</v>
      </c>
      <c r="I14" s="348">
        <v>-1.121478204</v>
      </c>
      <c r="J14" s="348">
        <v>-2.0538920959999998</v>
      </c>
      <c r="K14" s="348">
        <v>-0.81832217699999998</v>
      </c>
      <c r="L14" s="348">
        <v>-2.0496601550000002</v>
      </c>
      <c r="M14" s="348">
        <v>-2.4834924589999998</v>
      </c>
      <c r="N14" s="348">
        <v>-2.9731800549999998</v>
      </c>
      <c r="O14" s="348">
        <v>-3.0713337520000001</v>
      </c>
      <c r="P14" s="348">
        <v>0.52226421999999995</v>
      </c>
      <c r="Q14" s="348">
        <v>-2.23065187</v>
      </c>
      <c r="R14" s="348">
        <v>-1.83264852</v>
      </c>
      <c r="S14" s="348">
        <v>-2.413767923</v>
      </c>
      <c r="T14" s="348">
        <v>-2.413767923</v>
      </c>
      <c r="U14" s="348">
        <v>-2.413767923</v>
      </c>
      <c r="V14" s="348">
        <v>-2.313858615</v>
      </c>
      <c r="W14" s="348">
        <v>-2.55898264</v>
      </c>
      <c r="X14" s="348">
        <v>-2.368462515</v>
      </c>
      <c r="Y14" s="348">
        <v>-1.518758904</v>
      </c>
      <c r="Z14" s="348">
        <v>-2.4523445559999999</v>
      </c>
      <c r="AA14" s="348">
        <v>-2.7845852390000001</v>
      </c>
      <c r="AB14" s="348">
        <v>-3.3057745380000001</v>
      </c>
      <c r="AC14" s="348">
        <v>-2.7845852390000001</v>
      </c>
      <c r="AD14" s="348">
        <v>-2.4523445559999999</v>
      </c>
      <c r="AE14" s="348">
        <v>-1.518758904</v>
      </c>
      <c r="AF14" s="348">
        <v>-2.0291365149999998</v>
      </c>
      <c r="AG14" s="348">
        <v>-3.129683279</v>
      </c>
      <c r="AH14" s="348">
        <v>-0.71613751599999997</v>
      </c>
      <c r="AI14" s="348">
        <v>-1.23</v>
      </c>
      <c r="AJ14" s="348">
        <v>-0.33241260700000003</v>
      </c>
      <c r="AK14" s="348">
        <v>-0.36789786200000002</v>
      </c>
      <c r="AL14" s="348">
        <v>-1.1494692099999999</v>
      </c>
      <c r="AM14" s="348">
        <v>-1.96946921</v>
      </c>
      <c r="AN14" s="348">
        <v>-1.2859031830000001</v>
      </c>
      <c r="AO14" s="348">
        <v>-1.445903183</v>
      </c>
      <c r="AP14" s="348">
        <v>-1.5263117749999999</v>
      </c>
      <c r="AQ14" s="349">
        <v>-1.5298165969999999</v>
      </c>
      <c r="AR14" s="348">
        <v>-1.47</v>
      </c>
    </row>
    <row r="15" spans="1:44">
      <c r="A15" s="8" t="s">
        <v>601</v>
      </c>
      <c r="C15" s="339">
        <v>1.1100000000000001</v>
      </c>
      <c r="D15" s="339">
        <v>1.1100000000000001</v>
      </c>
      <c r="E15" s="339">
        <v>1.1100000000000001</v>
      </c>
      <c r="F15" s="339">
        <v>1.1100000000000001</v>
      </c>
      <c r="G15" s="339">
        <v>1.1100000000000001</v>
      </c>
      <c r="H15" s="339">
        <v>1.1100000000000001</v>
      </c>
      <c r="I15" s="339">
        <v>1.1100000000000001</v>
      </c>
      <c r="J15" s="339">
        <v>1.1100000000000001</v>
      </c>
      <c r="K15" s="339">
        <v>1.1100000000000001</v>
      </c>
      <c r="L15" s="339">
        <v>1.1100000000000001</v>
      </c>
      <c r="M15" s="339">
        <v>1.1100000000000001</v>
      </c>
      <c r="N15" s="339">
        <v>1.1100000000000001</v>
      </c>
      <c r="O15" s="339">
        <v>1.1100000000000001</v>
      </c>
      <c r="P15" s="339">
        <v>1.1100000000000001</v>
      </c>
      <c r="Q15" s="339">
        <v>1.1100000000000001</v>
      </c>
      <c r="R15" s="339">
        <v>1.1100000000000001</v>
      </c>
      <c r="S15" s="339">
        <v>0.91</v>
      </c>
      <c r="T15" s="339">
        <v>0.91</v>
      </c>
      <c r="U15" s="339">
        <v>0.91</v>
      </c>
      <c r="V15" s="339">
        <v>0.91</v>
      </c>
      <c r="W15" s="339">
        <v>0.91</v>
      </c>
      <c r="X15" s="339">
        <v>0.91</v>
      </c>
      <c r="Y15" s="339">
        <v>0.71</v>
      </c>
      <c r="Z15" s="339">
        <v>0.71</v>
      </c>
      <c r="AA15" s="339">
        <v>0.71</v>
      </c>
      <c r="AB15" s="339">
        <v>0.71</v>
      </c>
      <c r="AC15" s="339">
        <v>0.71</v>
      </c>
      <c r="AD15" s="339">
        <v>0.71</v>
      </c>
      <c r="AE15" s="339">
        <v>0.71</v>
      </c>
      <c r="AF15" s="339">
        <v>0.71</v>
      </c>
      <c r="AG15" s="339">
        <v>0.71</v>
      </c>
      <c r="AH15" s="339">
        <v>0.71</v>
      </c>
      <c r="AI15" s="339">
        <v>0.69</v>
      </c>
      <c r="AJ15" s="339">
        <v>0.64</v>
      </c>
      <c r="AK15" s="339">
        <v>0.64</v>
      </c>
      <c r="AL15" s="339">
        <v>0.64</v>
      </c>
      <c r="AM15" s="339">
        <v>0.64</v>
      </c>
      <c r="AN15" s="339">
        <v>0.64</v>
      </c>
      <c r="AO15" s="339">
        <v>0.64</v>
      </c>
      <c r="AP15" s="339">
        <v>0.64</v>
      </c>
      <c r="AQ15" s="340">
        <v>0.3</v>
      </c>
      <c r="AR15" s="339">
        <v>1.1100000000000001</v>
      </c>
    </row>
    <row r="16" spans="1:44">
      <c r="A16" s="8" t="s">
        <v>602</v>
      </c>
      <c r="C16" s="350">
        <f ca="1">+C12/(10^(C14))</f>
        <v>0</v>
      </c>
      <c r="D16" s="350">
        <f t="shared" ref="D16:AQ16" ca="1" si="10">+D12/(10^(D14))</f>
        <v>0</v>
      </c>
      <c r="E16" s="350">
        <f t="shared" ca="1" si="10"/>
        <v>0</v>
      </c>
      <c r="F16" s="350">
        <f t="shared" ca="1" si="10"/>
        <v>2.0145596554558523E-10</v>
      </c>
      <c r="G16" s="350">
        <f t="shared" ca="1" si="10"/>
        <v>0</v>
      </c>
      <c r="H16" s="350">
        <f t="shared" ca="1" si="10"/>
        <v>0</v>
      </c>
      <c r="I16" s="350">
        <f t="shared" ca="1" si="10"/>
        <v>0</v>
      </c>
      <c r="J16" s="350">
        <f t="shared" ca="1" si="10"/>
        <v>0</v>
      </c>
      <c r="K16" s="350">
        <f t="shared" ca="1" si="10"/>
        <v>0</v>
      </c>
      <c r="L16" s="350">
        <f t="shared" ca="1" si="10"/>
        <v>0</v>
      </c>
      <c r="M16" s="350">
        <f t="shared" ca="1" si="10"/>
        <v>0</v>
      </c>
      <c r="N16" s="350">
        <f t="shared" ca="1" si="10"/>
        <v>0</v>
      </c>
      <c r="O16" s="350">
        <f t="shared" ca="1" si="10"/>
        <v>0</v>
      </c>
      <c r="P16" s="350">
        <f t="shared" ca="1" si="10"/>
        <v>0</v>
      </c>
      <c r="Q16" s="350">
        <f t="shared" ca="1" si="10"/>
        <v>0</v>
      </c>
      <c r="R16" s="350">
        <f t="shared" ca="1" si="10"/>
        <v>0</v>
      </c>
      <c r="S16" s="350">
        <f t="shared" ca="1" si="10"/>
        <v>0</v>
      </c>
      <c r="T16" s="350">
        <f t="shared" ca="1" si="10"/>
        <v>0</v>
      </c>
      <c r="U16" s="350">
        <f t="shared" ca="1" si="10"/>
        <v>0</v>
      </c>
      <c r="V16" s="350">
        <f t="shared" ca="1" si="10"/>
        <v>2.0746916507388089E-9</v>
      </c>
      <c r="W16" s="350">
        <f t="shared" ca="1" si="10"/>
        <v>1.8538607362287677E-8</v>
      </c>
      <c r="X16" s="350">
        <f t="shared" ca="1" si="10"/>
        <v>5.2669314219259025E-9</v>
      </c>
      <c r="Y16" s="350">
        <f t="shared" ca="1" si="10"/>
        <v>0</v>
      </c>
      <c r="Z16" s="350">
        <f t="shared" ca="1" si="10"/>
        <v>0</v>
      </c>
      <c r="AA16" s="350">
        <f t="shared" ca="1" si="10"/>
        <v>0</v>
      </c>
      <c r="AB16" s="350">
        <f t="shared" ca="1" si="10"/>
        <v>0</v>
      </c>
      <c r="AC16" s="350">
        <f t="shared" ca="1" si="10"/>
        <v>0</v>
      </c>
      <c r="AD16" s="350">
        <f t="shared" ca="1" si="10"/>
        <v>0</v>
      </c>
      <c r="AE16" s="350">
        <f t="shared" ca="1" si="10"/>
        <v>0</v>
      </c>
      <c r="AF16" s="350">
        <f t="shared" ca="1" si="10"/>
        <v>0</v>
      </c>
      <c r="AG16" s="350">
        <f t="shared" ca="1" si="10"/>
        <v>0</v>
      </c>
      <c r="AH16" s="350">
        <f t="shared" ca="1" si="10"/>
        <v>0</v>
      </c>
      <c r="AI16" s="350">
        <f t="shared" ca="1" si="10"/>
        <v>0</v>
      </c>
      <c r="AJ16" s="350">
        <f t="shared" ca="1" si="10"/>
        <v>0</v>
      </c>
      <c r="AK16" s="350">
        <f t="shared" ca="1" si="10"/>
        <v>0</v>
      </c>
      <c r="AL16" s="350">
        <f t="shared" ca="1" si="10"/>
        <v>0</v>
      </c>
      <c r="AM16" s="350">
        <f t="shared" ca="1" si="10"/>
        <v>0</v>
      </c>
      <c r="AN16" s="350">
        <f t="shared" ca="1" si="10"/>
        <v>0</v>
      </c>
      <c r="AO16" s="350">
        <f t="shared" ca="1" si="10"/>
        <v>0</v>
      </c>
      <c r="AP16" s="350">
        <f t="shared" ca="1" si="10"/>
        <v>0</v>
      </c>
      <c r="AQ16" s="350">
        <f t="shared" ca="1" si="10"/>
        <v>0</v>
      </c>
      <c r="AR16" s="350">
        <f t="shared" ref="AR16" ca="1" si="11">+AR12/(10^(AR14))</f>
        <v>0</v>
      </c>
    </row>
    <row r="17" spans="1:52"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</row>
    <row r="18" spans="1:52">
      <c r="A18" s="8" t="s">
        <v>562</v>
      </c>
      <c r="C18" s="350">
        <f>NORMDIST(C13,C14,C15,1)</f>
        <v>3.0343443929983906E-5</v>
      </c>
      <c r="D18" s="350">
        <f t="shared" ref="D18:AQ18" si="12">NORMDIST(D13,D14,D15,1)</f>
        <v>7.2922596884629807E-5</v>
      </c>
      <c r="E18" s="350">
        <f t="shared" si="12"/>
        <v>2.8847708120433628E-5</v>
      </c>
      <c r="F18" s="350">
        <f t="shared" ca="1" si="12"/>
        <v>1.2185732628194417E-18</v>
      </c>
      <c r="G18" s="350">
        <f t="shared" si="12"/>
        <v>4.5667622427795181E-14</v>
      </c>
      <c r="H18" s="350">
        <f t="shared" si="12"/>
        <v>1.368791978945275E-11</v>
      </c>
      <c r="I18" s="350">
        <f t="shared" si="12"/>
        <v>2.377745922073448E-4</v>
      </c>
      <c r="J18" s="350">
        <f t="shared" si="12"/>
        <v>4.2341754867465272E-8</v>
      </c>
      <c r="K18" s="350">
        <f t="shared" si="12"/>
        <v>8.251881946578654E-5</v>
      </c>
      <c r="L18" s="350">
        <f t="shared" si="12"/>
        <v>4.145772651610567E-8</v>
      </c>
      <c r="M18" s="350">
        <f t="shared" si="12"/>
        <v>3.350639967812011E-7</v>
      </c>
      <c r="N18" s="350">
        <f t="shared" si="12"/>
        <v>2.9678532892886725E-6</v>
      </c>
      <c r="O18" s="350">
        <f t="shared" si="12"/>
        <v>4.4929333045568305E-6</v>
      </c>
      <c r="P18" s="350">
        <f t="shared" si="12"/>
        <v>8.0975323083069412E-15</v>
      </c>
      <c r="Q18" s="350">
        <f t="shared" si="12"/>
        <v>1.0093304070813297E-7</v>
      </c>
      <c r="R18" s="350">
        <f t="shared" si="12"/>
        <v>1.3787717940767605E-8</v>
      </c>
      <c r="S18" s="350">
        <f t="shared" si="12"/>
        <v>4.159542133548789E-10</v>
      </c>
      <c r="T18" s="350">
        <f t="shared" si="12"/>
        <v>4.159542133548789E-10</v>
      </c>
      <c r="U18" s="350">
        <f t="shared" si="12"/>
        <v>4.159542133548789E-10</v>
      </c>
      <c r="V18" s="350">
        <f t="shared" ca="1" si="12"/>
        <v>7.0180909748787953E-22</v>
      </c>
      <c r="W18" s="350">
        <f t="shared" ca="1" si="12"/>
        <v>9.7596769588694205E-18</v>
      </c>
      <c r="X18" s="350">
        <f t="shared" ca="1" si="12"/>
        <v>4.6349812791712254E-20</v>
      </c>
      <c r="Y18" s="350">
        <f t="shared" si="12"/>
        <v>4.7154400452287256E-7</v>
      </c>
      <c r="Z18" s="350">
        <f t="shared" si="12"/>
        <v>7.5111540600210456E-11</v>
      </c>
      <c r="AA18" s="350">
        <f t="shared" si="12"/>
        <v>1.4496201473465699E-9</v>
      </c>
      <c r="AB18" s="350">
        <f t="shared" si="12"/>
        <v>9.7977494659971342E-8</v>
      </c>
      <c r="AC18" s="350">
        <f t="shared" si="12"/>
        <v>1.4496201473465699E-9</v>
      </c>
      <c r="AD18" s="350">
        <f t="shared" si="12"/>
        <v>7.5111540600210456E-11</v>
      </c>
      <c r="AE18" s="350">
        <f t="shared" si="12"/>
        <v>5.8138445391874786E-15</v>
      </c>
      <c r="AF18" s="350">
        <f t="shared" si="12"/>
        <v>1.2687502730294704E-12</v>
      </c>
      <c r="AG18" s="350">
        <f t="shared" si="12"/>
        <v>2.5022523976664572E-8</v>
      </c>
      <c r="AH18" s="350">
        <f t="shared" si="12"/>
        <v>4.3559917213833049E-19</v>
      </c>
      <c r="AI18" s="350">
        <f t="shared" si="12"/>
        <v>3.0748686795937904E-17</v>
      </c>
      <c r="AJ18" s="350">
        <f t="shared" si="12"/>
        <v>1.0249812017978036E-25</v>
      </c>
      <c r="AK18" s="350">
        <f t="shared" si="12"/>
        <v>1.8331175789731907E-25</v>
      </c>
      <c r="AL18" s="350">
        <f t="shared" si="12"/>
        <v>3.0809003135495211E-20</v>
      </c>
      <c r="AM18" s="350">
        <f t="shared" si="12"/>
        <v>1.9175362778993343E-15</v>
      </c>
      <c r="AN18" s="350">
        <f t="shared" si="12"/>
        <v>2.1634895812134618E-19</v>
      </c>
      <c r="AO18" s="350">
        <f t="shared" si="12"/>
        <v>2.0090600589439066E-18</v>
      </c>
      <c r="AP18" s="350">
        <f t="shared" si="12"/>
        <v>6.0153453345203267E-18</v>
      </c>
      <c r="AQ18" s="350">
        <f t="shared" si="12"/>
        <v>1.3877985597936004E-74</v>
      </c>
      <c r="AR18" s="350">
        <f t="shared" ref="AR18" si="13">NORMDIST(AR13,AR14,AR15,1)</f>
        <v>3.1468148181550303E-7</v>
      </c>
    </row>
    <row r="19" spans="1:52" s="331" customFormat="1">
      <c r="A19" s="331" t="s">
        <v>563</v>
      </c>
      <c r="C19" s="332">
        <f>100*C18</f>
        <v>3.0343443929983908E-3</v>
      </c>
      <c r="D19" s="332">
        <f t="shared" ref="D19:AQ19" si="14">100*D18</f>
        <v>7.2922596884629808E-3</v>
      </c>
      <c r="E19" s="332">
        <f t="shared" si="14"/>
        <v>2.8847708120433627E-3</v>
      </c>
      <c r="F19" s="332">
        <f t="shared" ca="1" si="14"/>
        <v>1.2185732628194417E-16</v>
      </c>
      <c r="G19" s="332">
        <f t="shared" si="14"/>
        <v>4.5667622427795181E-12</v>
      </c>
      <c r="H19" s="332">
        <f t="shared" si="14"/>
        <v>1.3687919789452751E-9</v>
      </c>
      <c r="I19" s="332">
        <f t="shared" si="14"/>
        <v>2.377745922073448E-2</v>
      </c>
      <c r="J19" s="332">
        <f t="shared" si="14"/>
        <v>4.2341754867465268E-6</v>
      </c>
      <c r="K19" s="332">
        <f t="shared" si="14"/>
        <v>8.2518819465786548E-3</v>
      </c>
      <c r="L19" s="332">
        <f t="shared" si="14"/>
        <v>4.1457726516105669E-6</v>
      </c>
      <c r="M19" s="332">
        <f t="shared" si="14"/>
        <v>3.3506399678120109E-5</v>
      </c>
      <c r="N19" s="332">
        <f t="shared" si="14"/>
        <v>2.9678532892886726E-4</v>
      </c>
      <c r="O19" s="332">
        <f t="shared" si="14"/>
        <v>4.4929333045568302E-4</v>
      </c>
      <c r="P19" s="332">
        <f t="shared" si="14"/>
        <v>8.0975323083069416E-13</v>
      </c>
      <c r="Q19" s="332">
        <f t="shared" si="14"/>
        <v>1.0093304070813297E-5</v>
      </c>
      <c r="R19" s="332">
        <f t="shared" si="14"/>
        <v>1.3787717940767605E-6</v>
      </c>
      <c r="S19" s="332">
        <f t="shared" si="14"/>
        <v>4.1595421335487888E-8</v>
      </c>
      <c r="T19" s="332">
        <f t="shared" si="14"/>
        <v>4.1595421335487888E-8</v>
      </c>
      <c r="U19" s="332">
        <f t="shared" si="14"/>
        <v>4.1595421335487888E-8</v>
      </c>
      <c r="V19" s="332">
        <f t="shared" ca="1" si="14"/>
        <v>7.0180909748787951E-20</v>
      </c>
      <c r="W19" s="332">
        <f t="shared" ca="1" si="14"/>
        <v>9.7596769588694213E-16</v>
      </c>
      <c r="X19" s="332">
        <f t="shared" ca="1" si="14"/>
        <v>4.6349812791712257E-18</v>
      </c>
      <c r="Y19" s="332">
        <f t="shared" si="14"/>
        <v>4.7154400452287252E-5</v>
      </c>
      <c r="Z19" s="332">
        <f t="shared" si="14"/>
        <v>7.5111540600210455E-9</v>
      </c>
      <c r="AA19" s="332">
        <f t="shared" si="14"/>
        <v>1.4496201473465698E-7</v>
      </c>
      <c r="AB19" s="332">
        <f t="shared" si="14"/>
        <v>9.7977494659971344E-6</v>
      </c>
      <c r="AC19" s="332">
        <f t="shared" si="14"/>
        <v>1.4496201473465698E-7</v>
      </c>
      <c r="AD19" s="332">
        <f t="shared" si="14"/>
        <v>7.5111540600210455E-9</v>
      </c>
      <c r="AE19" s="332">
        <f t="shared" si="14"/>
        <v>5.8138445391874789E-13</v>
      </c>
      <c r="AF19" s="332">
        <f t="shared" si="14"/>
        <v>1.2687502730294703E-10</v>
      </c>
      <c r="AG19" s="332">
        <f t="shared" si="14"/>
        <v>2.5022523976664571E-6</v>
      </c>
      <c r="AH19" s="332">
        <f t="shared" si="14"/>
        <v>4.3559917213833048E-17</v>
      </c>
      <c r="AI19" s="332">
        <f t="shared" si="14"/>
        <v>3.0748686795937903E-15</v>
      </c>
      <c r="AJ19" s="332">
        <f t="shared" si="14"/>
        <v>1.0249812017978037E-23</v>
      </c>
      <c r="AK19" s="332">
        <f t="shared" si="14"/>
        <v>1.8331175789731908E-23</v>
      </c>
      <c r="AL19" s="332">
        <f t="shared" si="14"/>
        <v>3.0809003135495211E-18</v>
      </c>
      <c r="AM19" s="332">
        <f t="shared" si="14"/>
        <v>1.9175362778993343E-13</v>
      </c>
      <c r="AN19" s="332">
        <f t="shared" si="14"/>
        <v>2.1634895812134619E-17</v>
      </c>
      <c r="AO19" s="332">
        <f t="shared" si="14"/>
        <v>2.0090600589439067E-16</v>
      </c>
      <c r="AP19" s="332">
        <f t="shared" si="14"/>
        <v>6.0153453345203265E-16</v>
      </c>
      <c r="AQ19" s="332">
        <f t="shared" si="14"/>
        <v>1.3877985597936003E-72</v>
      </c>
      <c r="AR19" s="332">
        <f t="shared" ref="AR19" si="15">100*AR18</f>
        <v>3.14681481815503E-5</v>
      </c>
    </row>
    <row r="20" spans="1:52">
      <c r="Y20" s="351"/>
      <c r="Z20" s="351"/>
      <c r="AA20" s="351"/>
      <c r="AB20" s="351"/>
    </row>
    <row r="21" spans="1:52">
      <c r="A21" s="8" t="s">
        <v>603</v>
      </c>
      <c r="C21" s="8" t="s">
        <v>465</v>
      </c>
      <c r="S21" s="8" t="s">
        <v>92</v>
      </c>
      <c r="Y21" s="351" t="s">
        <v>496</v>
      </c>
      <c r="Z21" s="351"/>
      <c r="AA21" s="351"/>
      <c r="AB21" s="351"/>
      <c r="AI21" s="8" t="s">
        <v>465</v>
      </c>
      <c r="AJ21" s="8" t="s">
        <v>510</v>
      </c>
      <c r="AK21" s="8" t="s">
        <v>510</v>
      </c>
      <c r="AL21" s="8" t="s">
        <v>510</v>
      </c>
      <c r="AM21" s="8" t="s">
        <v>510</v>
      </c>
      <c r="AN21" s="8" t="s">
        <v>510</v>
      </c>
      <c r="AO21" s="8" t="s">
        <v>510</v>
      </c>
      <c r="AP21" s="8" t="s">
        <v>510</v>
      </c>
      <c r="AQ21" s="8" t="s">
        <v>518</v>
      </c>
      <c r="AR21" s="8" t="s">
        <v>465</v>
      </c>
    </row>
    <row r="22" spans="1:52">
      <c r="A22" s="8" t="s">
        <v>604</v>
      </c>
      <c r="C22" s="8">
        <f ca="1">LOG(SUM(C16:R16))</f>
        <v>-9.6958198676890106</v>
      </c>
      <c r="S22" s="8">
        <f ca="1">IF(SUM(S16:U16)&gt;0,LOG(SUM(S16:X16)),-8)</f>
        <v>-8</v>
      </c>
      <c r="Y22" s="351">
        <f ca="1">IF(SUM(Y16:AH16)&gt;0,LOG(SUM(Y16:AH16)),-8)</f>
        <v>-8</v>
      </c>
      <c r="Z22" s="351"/>
      <c r="AA22" s="351"/>
      <c r="AB22" s="351"/>
      <c r="AI22" s="8">
        <f ca="1">IF(AI16&gt;0,LOG(AI16),LOG(0.00000001))</f>
        <v>-8</v>
      </c>
      <c r="AJ22" s="8">
        <f ca="1">IF(SUM(AJ16:AP16)&gt;0,LOG(SUM(AJ16:AP16)),-8)</f>
        <v>-8</v>
      </c>
      <c r="AM22" s="351"/>
      <c r="AQ22" s="8">
        <f ca="1">IF(AQ16&gt;0,LOG(AQ16),LOG(0.00000001))</f>
        <v>-8</v>
      </c>
      <c r="AR22" s="8">
        <f ca="1">IF(AR16&gt;0,LOG(AR16),LOG(0.00000001))</f>
        <v>-8</v>
      </c>
    </row>
    <row r="23" spans="1:52">
      <c r="A23" s="8" t="s">
        <v>605</v>
      </c>
      <c r="C23" s="8">
        <f ca="1">NORMDIST(C22,0,C15,1)</f>
        <v>1.2185732628194417E-18</v>
      </c>
      <c r="S23" s="8">
        <f ca="1">NORMDIST(S22,0,S15,1)</f>
        <v>7.397965208116994E-19</v>
      </c>
      <c r="Y23" s="8">
        <f ca="1">NORMDIST(Y22,0,Y15,1)</f>
        <v>9.4828686878660408E-30</v>
      </c>
      <c r="Z23" s="351"/>
      <c r="AA23" s="351"/>
      <c r="AB23" s="351"/>
      <c r="AI23" s="8">
        <f ca="1">NORMDIST(AI22,0,AI15,1)</f>
        <v>2.2047589044818315E-31</v>
      </c>
      <c r="AJ23" s="8">
        <f ca="1">NORMDIST(AJ22,0,AJ15,1)</f>
        <v>3.7325642988777144E-36</v>
      </c>
      <c r="AM23" s="351"/>
      <c r="AQ23" s="8">
        <f ca="1">NORMDIST(AQ22,0,AQ15,1)</f>
        <v>5.7347825020024226E-157</v>
      </c>
      <c r="AR23" s="8">
        <f ca="1">NORMDIST(AR22,0,AR15,1)</f>
        <v>2.8555532856423419E-13</v>
      </c>
    </row>
    <row r="24" spans="1:52">
      <c r="AM24" s="351"/>
      <c r="AN24" s="351"/>
      <c r="AO24" s="351"/>
      <c r="AP24" s="351"/>
    </row>
    <row r="25" spans="1:52">
      <c r="A25" s="8" t="s">
        <v>606</v>
      </c>
      <c r="B25" s="351">
        <f ca="1">1-((1-C23)*(1-S23)*(1-Y23)*(1-AI23)*(1-AJ23)*(1-AQ23)*(1-AR23))</f>
        <v>2.8554936193359026E-13</v>
      </c>
    </row>
    <row r="26" spans="1:52" s="352" customFormat="1">
      <c r="A26" s="352" t="s">
        <v>607</v>
      </c>
      <c r="B26" s="353">
        <f ca="1">100*B25+'msPAF anorg'!U8</f>
        <v>2.8554936193359026E-11</v>
      </c>
    </row>
    <row r="27" spans="1:52" s="356" customFormat="1">
      <c r="A27" s="354"/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</row>
    <row r="28" spans="1:52" s="356" customFormat="1">
      <c r="A28" s="357"/>
      <c r="B28" s="357"/>
    </row>
    <row r="29" spans="1:52" s="356" customFormat="1">
      <c r="A29" s="360" t="s">
        <v>610</v>
      </c>
      <c r="B29" s="358">
        <f ca="1">IF(B26&lt;=20,1,0)</f>
        <v>1</v>
      </c>
      <c r="C29" s="356" t="s">
        <v>611</v>
      </c>
      <c r="Y29" s="359"/>
      <c r="Z29" s="359"/>
      <c r="AA29" s="359"/>
      <c r="AB29" s="359"/>
      <c r="AC29" s="359"/>
      <c r="AD29" s="359"/>
      <c r="AE29" s="359"/>
      <c r="AF29" s="359"/>
      <c r="AG29" s="359"/>
    </row>
    <row r="30" spans="1:52" s="356" customFormat="1">
      <c r="A30" s="361" t="s">
        <v>609</v>
      </c>
      <c r="B30" s="358">
        <f ca="1">IF('msPAF anorg'!C43&lt;=50,1,0)</f>
        <v>1</v>
      </c>
      <c r="C30" s="355" t="s">
        <v>611</v>
      </c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</row>
    <row r="31" spans="1:52">
      <c r="A31" s="8" t="s">
        <v>612</v>
      </c>
      <c r="B31" s="362">
        <f ca="1">B29*B30</f>
        <v>1</v>
      </c>
      <c r="C31" s="336" t="s">
        <v>611</v>
      </c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</row>
    <row r="32" spans="1:52"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</row>
    <row r="33" spans="2:24"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</row>
    <row r="34" spans="2:24"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</row>
    <row r="35" spans="2:24"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</row>
    <row r="36" spans="2:24"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</row>
    <row r="37" spans="2:24"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</row>
    <row r="38" spans="2:24"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</row>
    <row r="39" spans="2:24"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</row>
    <row r="40" spans="2:24"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</row>
    <row r="41" spans="2:24"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</row>
    <row r="42" spans="2:24"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</row>
    <row r="43" spans="2:24"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</row>
    <row r="44" spans="2:24"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</row>
    <row r="45" spans="2:24"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</row>
    <row r="46" spans="2:24"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</row>
    <row r="47" spans="2:24"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3</vt:i4>
      </vt:variant>
    </vt:vector>
  </HeadingPairs>
  <TitlesOfParts>
    <vt:vector size="12" baseType="lpstr">
      <vt:lpstr>start</vt:lpstr>
      <vt:lpstr>analyse import</vt:lpstr>
      <vt:lpstr>Besluit bodemkwaliteit</vt:lpstr>
      <vt:lpstr>teller overschrijdingen</vt:lpstr>
      <vt:lpstr>omrekenen</vt:lpstr>
      <vt:lpstr>CROW tab</vt:lpstr>
      <vt:lpstr>PAF parameters</vt:lpstr>
      <vt:lpstr>msPAF anorg</vt:lpstr>
      <vt:lpstr>msPAF org</vt:lpstr>
      <vt:lpstr>'Besluit bodemkwaliteit'!Afdrukbereik</vt:lpstr>
      <vt:lpstr>Afdrukbereik</vt:lpstr>
      <vt:lpstr>'Besluit bodemkwaliteit'!grondenbagger</vt:lpstr>
    </vt:vector>
  </TitlesOfParts>
  <Company>LexControl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 Lexmond</dc:creator>
  <cp:lastModifiedBy>Ruud Lexmond</cp:lastModifiedBy>
  <cp:lastPrinted>2015-01-20T20:08:52Z</cp:lastPrinted>
  <dcterms:created xsi:type="dcterms:W3CDTF">2007-03-31T13:31:41Z</dcterms:created>
  <dcterms:modified xsi:type="dcterms:W3CDTF">2017-06-14T07:19:52Z</dcterms:modified>
</cp:coreProperties>
</file>